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3040" windowHeight="9405" tabRatio="540" activeTab="1"/>
  </bookViews>
  <sheets>
    <sheet name="საწყისი 2013" sheetId="14" r:id="rId1"/>
    <sheet name="ვარიანტი 1" sheetId="11" r:id="rId2"/>
    <sheet name="ვარიანტი 2" sheetId="13" r:id="rId3"/>
    <sheet name="დაშვებები" sheetId="12" r:id="rId4"/>
  </sheets>
  <calcPr calcId="145621"/>
</workbook>
</file>

<file path=xl/calcChain.xml><?xml version="1.0" encoding="utf-8"?>
<calcChain xmlns="http://schemas.openxmlformats.org/spreadsheetml/2006/main">
  <c r="B45" i="14" l="1"/>
  <c r="E45" i="14" s="1"/>
  <c r="E43" i="14"/>
  <c r="C43" i="14"/>
  <c r="B43" i="14"/>
  <c r="B44" i="14" s="1"/>
  <c r="F31" i="14"/>
  <c r="H30" i="14"/>
  <c r="C30" i="14" s="1"/>
  <c r="D30" i="14" s="1"/>
  <c r="H29" i="14"/>
  <c r="C29" i="14" s="1"/>
  <c r="D29" i="14" s="1"/>
  <c r="H28" i="14"/>
  <c r="C28" i="14"/>
  <c r="D28" i="14" s="1"/>
  <c r="H27" i="14"/>
  <c r="C27" i="14"/>
  <c r="D27" i="14" s="1"/>
  <c r="H26" i="14"/>
  <c r="H31" i="14" s="1"/>
  <c r="H25" i="14"/>
  <c r="C25" i="14" s="1"/>
  <c r="D25" i="14" s="1"/>
  <c r="H24" i="14"/>
  <c r="C24" i="14"/>
  <c r="H22" i="14"/>
  <c r="C22" i="14"/>
  <c r="D22" i="14" s="1"/>
  <c r="H21" i="14"/>
  <c r="C21" i="14" s="1"/>
  <c r="D21" i="14" s="1"/>
  <c r="H20" i="14"/>
  <c r="C20" i="14" s="1"/>
  <c r="D20" i="14" s="1"/>
  <c r="H19" i="14"/>
  <c r="C19" i="14"/>
  <c r="D19" i="14" s="1"/>
  <c r="H17" i="14"/>
  <c r="C17" i="14"/>
  <c r="D17" i="14" s="1"/>
  <c r="H16" i="14"/>
  <c r="C16" i="14" s="1"/>
  <c r="D16" i="14" s="1"/>
  <c r="H15" i="14"/>
  <c r="C15" i="14" s="1"/>
  <c r="D15" i="14" s="1"/>
  <c r="H14" i="14"/>
  <c r="C14" i="14"/>
  <c r="C13" i="14"/>
  <c r="H12" i="14"/>
  <c r="C12" i="14"/>
  <c r="D12" i="14" s="1"/>
  <c r="C11" i="14"/>
  <c r="D11" i="14" s="1"/>
  <c r="D13" i="14" l="1"/>
  <c r="K11" i="14"/>
  <c r="C18" i="14"/>
  <c r="J18" i="14" s="1"/>
  <c r="J23" i="14" s="1"/>
  <c r="J31" i="14" s="1"/>
  <c r="C31" i="14"/>
  <c r="C44" i="14"/>
  <c r="E44" i="14" s="1"/>
  <c r="E46" i="14" s="1"/>
  <c r="F46" i="14" s="1"/>
  <c r="B46" i="14"/>
  <c r="D23" i="14"/>
  <c r="C23" i="14"/>
  <c r="D14" i="14"/>
  <c r="D18" i="14" s="1"/>
  <c r="J13" i="14"/>
  <c r="C26" i="14"/>
  <c r="D26" i="14" s="1"/>
  <c r="C45" i="14"/>
  <c r="D24" i="14"/>
  <c r="D31" i="14" s="1"/>
  <c r="C46" i="14" l="1"/>
  <c r="D46" i="14" s="1"/>
  <c r="K18" i="14"/>
  <c r="K23" i="14" s="1"/>
  <c r="K31" i="14" s="1"/>
  <c r="K13" i="14"/>
  <c r="G45" i="12" l="1"/>
  <c r="G34" i="12"/>
  <c r="G24" i="12"/>
  <c r="G13" i="12"/>
  <c r="F16" i="12"/>
  <c r="F15" i="12"/>
  <c r="F17" i="12" s="1"/>
  <c r="F47" i="12"/>
  <c r="F36" i="12"/>
  <c r="F26" i="12"/>
  <c r="B48" i="12"/>
  <c r="F48" i="12" s="1"/>
  <c r="F49" i="12" s="1"/>
  <c r="B47" i="12"/>
  <c r="H44" i="12"/>
  <c r="G44" i="12"/>
  <c r="B37" i="12"/>
  <c r="F37" i="12" s="1"/>
  <c r="F38" i="12" s="1"/>
  <c r="B36" i="12"/>
  <c r="H33" i="12"/>
  <c r="G33" i="12"/>
  <c r="B27" i="12"/>
  <c r="B26" i="12"/>
  <c r="F27" i="12"/>
  <c r="F28" i="12" s="1"/>
  <c r="H23" i="12"/>
  <c r="G23" i="12"/>
  <c r="H12" i="12"/>
  <c r="C14" i="11"/>
  <c r="D14" i="11"/>
  <c r="D6" i="11"/>
  <c r="B16" i="12"/>
  <c r="B41" i="13"/>
  <c r="E41" i="13" s="1"/>
  <c r="E39" i="13"/>
  <c r="B39" i="13"/>
  <c r="F28" i="13"/>
  <c r="H27" i="13"/>
  <c r="C27" i="13" s="1"/>
  <c r="D27" i="13" s="1"/>
  <c r="H26" i="13"/>
  <c r="C26" i="13" s="1"/>
  <c r="D26" i="13" s="1"/>
  <c r="H25" i="13"/>
  <c r="C25" i="13" s="1"/>
  <c r="D25" i="13" s="1"/>
  <c r="H24" i="13"/>
  <c r="C24" i="13" s="1"/>
  <c r="D24" i="13" s="1"/>
  <c r="H23" i="13"/>
  <c r="C23" i="13" s="1"/>
  <c r="D23" i="13" s="1"/>
  <c r="H22" i="13"/>
  <c r="C22" i="13" s="1"/>
  <c r="D22" i="13" s="1"/>
  <c r="H21" i="13"/>
  <c r="C21" i="13" s="1"/>
  <c r="D21" i="13" s="1"/>
  <c r="H20" i="13"/>
  <c r="H18" i="13"/>
  <c r="C18" i="13" s="1"/>
  <c r="D18" i="13" s="1"/>
  <c r="H17" i="13"/>
  <c r="C17" i="13" s="1"/>
  <c r="D17" i="13" s="1"/>
  <c r="H16" i="13"/>
  <c r="C16" i="13"/>
  <c r="D16" i="13" s="1"/>
  <c r="H15" i="13"/>
  <c r="C15" i="13"/>
  <c r="H13" i="13"/>
  <c r="C13" i="13" s="1"/>
  <c r="D13" i="13" s="1"/>
  <c r="H12" i="13"/>
  <c r="C12" i="13" s="1"/>
  <c r="D12" i="13" s="1"/>
  <c r="H11" i="13"/>
  <c r="D11" i="13"/>
  <c r="C11" i="13"/>
  <c r="H10" i="13"/>
  <c r="C10" i="13"/>
  <c r="D10" i="13" s="1"/>
  <c r="H9" i="13"/>
  <c r="C9" i="13" s="1"/>
  <c r="D9" i="13" s="1"/>
  <c r="H8" i="13"/>
  <c r="C8" i="13" s="1"/>
  <c r="D8" i="13" s="1"/>
  <c r="H7" i="13"/>
  <c r="D7" i="13"/>
  <c r="C7" i="13"/>
  <c r="H6" i="13"/>
  <c r="C6" i="13" s="1"/>
  <c r="J5" i="13"/>
  <c r="G12" i="12"/>
  <c r="D2" i="12"/>
  <c r="C2" i="12"/>
  <c r="D1" i="12"/>
  <c r="C1" i="12"/>
  <c r="H10" i="11"/>
  <c r="C10" i="11" s="1"/>
  <c r="D10" i="11" s="1"/>
  <c r="H13" i="11"/>
  <c r="C13" i="11" s="1"/>
  <c r="D13" i="11" s="1"/>
  <c r="H12" i="11"/>
  <c r="C12" i="11" s="1"/>
  <c r="D12" i="11" s="1"/>
  <c r="H11" i="11"/>
  <c r="C11" i="11" s="1"/>
  <c r="D11" i="11" s="1"/>
  <c r="H28" i="13" l="1"/>
  <c r="C20" i="13"/>
  <c r="D20" i="13" s="1"/>
  <c r="D28" i="13" s="1"/>
  <c r="C19" i="13"/>
  <c r="C14" i="13"/>
  <c r="J14" i="13" s="1"/>
  <c r="J19" i="13" s="1"/>
  <c r="D6" i="13"/>
  <c r="D14" i="13" s="1"/>
  <c r="K14" i="13" s="1"/>
  <c r="D15" i="13"/>
  <c r="D19" i="13" s="1"/>
  <c r="B40" i="13"/>
  <c r="C40" i="13" s="1"/>
  <c r="E40" i="13" s="1"/>
  <c r="E42" i="13" s="1"/>
  <c r="F42" i="13" s="1"/>
  <c r="C41" i="13"/>
  <c r="C39" i="13"/>
  <c r="H25" i="11"/>
  <c r="K19" i="13" l="1"/>
  <c r="K28" i="13"/>
  <c r="C28" i="13"/>
  <c r="J28" i="13" s="1"/>
  <c r="C42" i="13"/>
  <c r="D42" i="13" s="1"/>
  <c r="B42" i="13"/>
  <c r="C25" i="11"/>
  <c r="D25" i="11" s="1"/>
  <c r="B41" i="11"/>
  <c r="E41" i="11" s="1"/>
  <c r="B39" i="11"/>
  <c r="C39" i="11" s="1"/>
  <c r="F28" i="11"/>
  <c r="H27" i="11"/>
  <c r="C27" i="11" s="1"/>
  <c r="D27" i="11" s="1"/>
  <c r="H26" i="11"/>
  <c r="C26" i="11" s="1"/>
  <c r="D26" i="11" s="1"/>
  <c r="H24" i="11"/>
  <c r="C24" i="11" s="1"/>
  <c r="D24" i="11" s="1"/>
  <c r="H23" i="11"/>
  <c r="C23" i="11" s="1"/>
  <c r="D23" i="11" s="1"/>
  <c r="H22" i="11"/>
  <c r="C22" i="11" s="1"/>
  <c r="H18" i="11"/>
  <c r="C18" i="11" s="1"/>
  <c r="D18" i="11" s="1"/>
  <c r="H17" i="11"/>
  <c r="C17" i="11" s="1"/>
  <c r="D17" i="11" s="1"/>
  <c r="H16" i="11"/>
  <c r="C16" i="11" s="1"/>
  <c r="D16" i="11" s="1"/>
  <c r="H15" i="11"/>
  <c r="C15" i="11" s="1"/>
  <c r="H9" i="11"/>
  <c r="C9" i="11" s="1"/>
  <c r="H8" i="11"/>
  <c r="C8" i="11" s="1"/>
  <c r="D8" i="11" s="1"/>
  <c r="H7" i="11"/>
  <c r="C7" i="11" s="1"/>
  <c r="D7" i="11" s="1"/>
  <c r="H6" i="11"/>
  <c r="C6" i="11" s="1"/>
  <c r="H21" i="11"/>
  <c r="C21" i="11" s="1"/>
  <c r="D21" i="11" s="1"/>
  <c r="H20" i="11"/>
  <c r="D9" i="11" l="1"/>
  <c r="H28" i="11"/>
  <c r="E39" i="11"/>
  <c r="C20" i="11"/>
  <c r="D20" i="11" s="1"/>
  <c r="C41" i="11"/>
  <c r="J5" i="11"/>
  <c r="C19" i="11"/>
  <c r="D22" i="11"/>
  <c r="D15" i="11"/>
  <c r="D19" i="11" s="1"/>
  <c r="D28" i="11" l="1"/>
  <c r="C28" i="11"/>
  <c r="J14" i="11"/>
  <c r="J19" i="11" s="1"/>
  <c r="J28" i="11" l="1"/>
  <c r="K14" i="11"/>
  <c r="K19" i="11" s="1"/>
  <c r="K28" i="11" s="1"/>
  <c r="B40" i="11"/>
  <c r="C40" i="11" l="1"/>
  <c r="E40" i="11" s="1"/>
  <c r="B42" i="11"/>
  <c r="E42" i="11" l="1"/>
  <c r="F42" i="11" s="1"/>
  <c r="C42" i="11"/>
  <c r="D42" i="11" s="1"/>
</calcChain>
</file>

<file path=xl/comments1.xml><?xml version="1.0" encoding="utf-8"?>
<comments xmlns="http://schemas.openxmlformats.org/spreadsheetml/2006/main">
  <authors>
    <author>Maia Maglakelidze-Khomeriki</author>
  </authors>
  <commentList>
    <comment ref="G13" authorId="0">
      <text>
        <r>
          <rPr>
            <b/>
            <sz val="9"/>
            <color indexed="81"/>
            <rFont val="Tahoma"/>
            <family val="2"/>
          </rPr>
          <t xml:space="preserve">Maia Maglakelidze-Khomeri
დაშვებები:
საშუალო ასაკის ბენეფიციართა ვიზიტები შეადგენს საერთო რაოდენობის მეოთხედს და განფასებულია საშუალოდ 45 ლარად;
თითოეული კვლევა განფასებულია საშუალოდ 45 ლარად;
თანაგადახდით ჩატარდა სულ მცირე 2 კვლევა.
</t>
        </r>
      </text>
    </comment>
  </commentList>
</comments>
</file>

<file path=xl/sharedStrings.xml><?xml version="1.0" encoding="utf-8"?>
<sst xmlns="http://schemas.openxmlformats.org/spreadsheetml/2006/main" count="257" uniqueCount="80">
  <si>
    <t>წლიური ხარჯი</t>
  </si>
  <si>
    <t xml:space="preserve">განავალი ფარულ სისხლდენაზე </t>
  </si>
  <si>
    <t xml:space="preserve">ლიპიდური პროფილი </t>
  </si>
  <si>
    <t>ელექტროკარდიოგრაფია (100%)</t>
  </si>
  <si>
    <t xml:space="preserve">კრეატინინი </t>
  </si>
  <si>
    <t>აუცილებელი</t>
  </si>
  <si>
    <t>ოჯახის/უბნის ექიმის მომსახურება (100%)</t>
  </si>
  <si>
    <t>ზოგადი პრაქტიკის ექთნის მომსახურება (100%)</t>
  </si>
  <si>
    <t>გლუკოზა პერიფერიულ  სისხლში (100%)</t>
  </si>
  <si>
    <t>ოტოსკოპია, რინოსკოპია, ფარინგოსკოპი</t>
  </si>
  <si>
    <t>პიკფლოუმეტრია</t>
  </si>
  <si>
    <t>ქოლესტეროლი (100%)</t>
  </si>
  <si>
    <t>რეკომენდებული</t>
  </si>
  <si>
    <t>ენდოკრინოლოგი</t>
  </si>
  <si>
    <t>ოფთალმოლოგი და ოფთალმოსკოპია (გუგის გაგანიერების გარეშე)</t>
  </si>
  <si>
    <t>სასურველი</t>
  </si>
  <si>
    <t>არააუცილებელი</t>
  </si>
  <si>
    <t>კატეგორია</t>
  </si>
  <si>
    <t>მომსახურების სახე</t>
  </si>
  <si>
    <t>ღირებულება</t>
  </si>
  <si>
    <t>[მიმდინარე პროგრამის ფარგლებში]</t>
  </si>
  <si>
    <t>პროგნოზი</t>
  </si>
  <si>
    <t>ერთეულის საშუალო ღირებულება</t>
  </si>
  <si>
    <t>სამიზნე პოპულაცია 1 გუნდზე</t>
  </si>
  <si>
    <t>მოსარგებლეზე</t>
  </si>
  <si>
    <t>მოსარგებლე</t>
  </si>
  <si>
    <t xml:space="preserve">თვეები: </t>
  </si>
  <si>
    <t>სულ აუცილებელი</t>
  </si>
  <si>
    <t>ერთ სულზე ღირებულება თვეში (თანაგადახდის გარეშე)</t>
  </si>
  <si>
    <t>სულ რეკომენდებული</t>
  </si>
  <si>
    <t>ფარისებრი ჯირკვლის ფუნქციური სინჯები: TSH</t>
  </si>
  <si>
    <t>სასურველი (ან რეკომენდებული)</t>
  </si>
  <si>
    <t>სასურველი სულ</t>
  </si>
  <si>
    <t>არააუცილებელი სულ</t>
  </si>
  <si>
    <t xml:space="preserve">ერთ სულზე ღირებულება თანაგადახდით </t>
  </si>
  <si>
    <t>თანაგადახდის პროცენტი</t>
  </si>
  <si>
    <t xml:space="preserve">INR </t>
  </si>
  <si>
    <t>პაკეტების ღირებულება თანაგადახდის გარეშე</t>
  </si>
  <si>
    <t>პაკეტების ღირებულება თანაგადახდით</t>
  </si>
  <si>
    <t>ღვიძლის ფუნქციური სინჯები: ALT, AST</t>
  </si>
  <si>
    <t xml:space="preserve">რენტგენოსკოპია/რენტგენოგრაფია </t>
  </si>
  <si>
    <t>შენიშვნა:</t>
  </si>
  <si>
    <t>აუცილებლობის შემთხვევაში დაემატება ქირურგი</t>
  </si>
  <si>
    <t>მუცლის ღრუს/მცირე მენჯის  ექოსკოპია  (ტრანსაბდომინური – სისტემების მიხედვით)</t>
  </si>
  <si>
    <t>15-65</t>
  </si>
  <si>
    <t>65+</t>
  </si>
  <si>
    <t>0-6</t>
  </si>
  <si>
    <t>2013 wlis 5 Tve</t>
  </si>
  <si>
    <t>sayoveltao - korporatiuli</t>
  </si>
  <si>
    <t>ჰემოგლობინომეტრია (100%)</t>
  </si>
  <si>
    <t>კოეფიციენტი</t>
  </si>
  <si>
    <t>მიზნობრივი</t>
  </si>
  <si>
    <t>ზოგადპოპულაცია</t>
  </si>
  <si>
    <t>0.86 Lari</t>
  </si>
  <si>
    <t>ოჯახის ექიმის პაკეტი</t>
  </si>
  <si>
    <t>დამატებითი სოციალური კოეფიციენტი</t>
  </si>
  <si>
    <t>შარდის ანალიზი უროტესტით (100%)</t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</si>
  <si>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კარდიოლოგი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</si>
  <si>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ნევროლოგი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</si>
  <si>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გინეკოლოგი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</si>
  <si>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ოტორინოლარინგოლოგი</t>
    </r>
  </si>
  <si>
    <r>
      <t>§</t>
    </r>
    <r>
      <rPr>
        <sz val="11"/>
        <rFont val="Times New Roman"/>
        <family val="1"/>
      </rPr>
      <t xml:space="preserve">  </t>
    </r>
    <r>
      <rPr>
        <sz val="11"/>
        <rFont val="Sylfaen"/>
        <family val="1"/>
      </rPr>
      <t>უროლოგი</t>
    </r>
  </si>
  <si>
    <t>მუცლის ღრუს/მცირე მენჯის  ექოსკოპია  (ტრანსაბდომინური – სისტემების მიხედვით)+</t>
  </si>
  <si>
    <r>
      <t>§</t>
    </r>
    <r>
      <rPr>
        <sz val="11"/>
        <color rgb="FFFF0000"/>
        <rFont val="Times New Roman"/>
        <family val="1"/>
      </rPr>
      <t xml:space="preserve">  </t>
    </r>
    <r>
      <rPr>
        <sz val="11"/>
        <color rgb="FFFF0000"/>
        <rFont val="Sylfaen"/>
        <family val="1"/>
      </rPr>
      <t>ქირურგი</t>
    </r>
  </si>
  <si>
    <t>სისხლის ს/ა</t>
  </si>
  <si>
    <t>ეკგ</t>
  </si>
  <si>
    <t>შარდის ს/ა</t>
  </si>
  <si>
    <t>რეგისტრირებული მოსახლეობა</t>
  </si>
  <si>
    <t>მოსახლეობა</t>
  </si>
  <si>
    <t>ოჯ</t>
  </si>
  <si>
    <t>ოჯახის ექიმი (ვიზიტები)</t>
  </si>
  <si>
    <t>სპეციალისტები (ვიზიტები)</t>
  </si>
  <si>
    <t>რეგისტრირებული ბენეფიციარი</t>
  </si>
  <si>
    <t>შესაძლო კორექციით</t>
  </si>
  <si>
    <t>1 სპეც. და 4 კვლევა</t>
  </si>
  <si>
    <t>კაპიტაცია ამჟამად (დამატებითი შესაძლო შემოსავლით)</t>
  </si>
  <si>
    <t xml:space="preserve">კლინიკის ხარჯის დაანგარიშება საშ. ძირითადი ხარჯით - პირდაპირი ხელფასის, არაპირდაპირი ხელფასის, რეაქტივების ხვედრითი წილით (თუ ჩავთვლით, რომ კვლევის ხარჯი იგი საშუალოდ 4 ლარია, ყველა კონსულტანტის (8) საერთო ხელფასი არ აღემატება 2500 ლარს). შესაძლებელია უფრო დეტალური გათვლების გაკეთება, თუმცა საბოლოოდ ხარჯის შესახებ ინფორმაცია მნიშვნელოვნად განსხვავეული არ იქნება. ამასთან არის შემდეგი დაშვებები: 
საშუალო ასაკის ბენეფიციართა ვიზიტები შეადგენს საერთო რაოდენობის მეოთხედს და განფასებულია საშუალოდ 45 ლარად;
თითოეული კვლევა განფასებულია საშუალოდ 45 ლარად;
თანაგადახდით ჩატარდა სულ მცირე 2 კვლევა.
</t>
  </si>
  <si>
    <t>არსებული პაკეტი</t>
  </si>
  <si>
    <t xml:space="preserve">სულ 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</si>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</sst>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K_č_-;\-* #,##0.00\ _K_č_-;_-* &quot;-&quot;??\ _K_č_-;_-@_-"/>
    <numFmt numFmtId="165" formatCode="#,##0.00\ [$Lari-437]"/>
    <numFmt numFmtId="166" formatCode="0.0"/>
    <numFmt numFmtId="167" formatCode="&quot;$&quot;#,##0.00"/>
  </numFmts>
  <fonts count="20" x14ac:knownFonts="1">
    <font>
      <sz val="10"/>
      <name val="Arial"/>
      <charset val="238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Sylfaen"/>
      <family val="1"/>
    </font>
    <font>
      <b/>
      <sz val="11"/>
      <name val="Sylfae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name val="Wingdings"/>
      <charset val="2"/>
    </font>
    <font>
      <sz val="11"/>
      <name val="Times New Roman"/>
      <family val="1"/>
    </font>
    <font>
      <sz val="11"/>
      <color rgb="FF000000"/>
      <name val="Calibri"/>
      <family val="2"/>
    </font>
    <font>
      <sz val="11"/>
      <name val="Arial"/>
      <family val="2"/>
      <charset val="204"/>
    </font>
    <font>
      <b/>
      <sz val="11"/>
      <color rgb="FF000000"/>
      <name val="Arial"/>
      <family val="2"/>
    </font>
    <font>
      <sz val="11"/>
      <color rgb="FFFF0000"/>
      <name val="Wingdings"/>
      <charset val="2"/>
    </font>
    <font>
      <sz val="11"/>
      <color rgb="FFFF0000"/>
      <name val="Times New Roman"/>
      <family val="1"/>
    </font>
    <font>
      <sz val="11"/>
      <color rgb="FFFF0000"/>
      <name val="Sylfaen"/>
      <family val="1"/>
    </font>
    <font>
      <b/>
      <sz val="11"/>
      <color rgb="FFFF0000"/>
      <name val="Sylfaen"/>
      <family val="1"/>
    </font>
    <font>
      <b/>
      <sz val="9"/>
      <color indexed="81"/>
      <name val="Tahoma"/>
      <family val="2"/>
    </font>
    <font>
      <sz val="11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165" fontId="6" fillId="9" borderId="1" xfId="0" applyNumberFormat="1" applyFont="1" applyFill="1" applyBorder="1" applyAlignment="1">
      <alignment horizontal="center" vertical="center"/>
    </xf>
    <xf numFmtId="9" fontId="6" fillId="9" borderId="1" xfId="2" applyFont="1" applyFill="1" applyBorder="1" applyAlignment="1">
      <alignment horizontal="center" vertical="center"/>
    </xf>
    <xf numFmtId="165" fontId="6" fillId="11" borderId="1" xfId="0" applyNumberFormat="1" applyFont="1" applyFill="1" applyBorder="1" applyAlignment="1">
      <alignment horizontal="center" vertical="center"/>
    </xf>
    <xf numFmtId="9" fontId="6" fillId="12" borderId="1" xfId="2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165" fontId="6" fillId="13" borderId="1" xfId="0" applyNumberFormat="1" applyFont="1" applyFill="1" applyBorder="1" applyAlignment="1">
      <alignment horizontal="center" vertical="center"/>
    </xf>
    <xf numFmtId="9" fontId="6" fillId="13" borderId="1" xfId="2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165" fontId="7" fillId="13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/>
    </xf>
    <xf numFmtId="165" fontId="6" fillId="7" borderId="0" xfId="0" applyNumberFormat="1" applyFont="1" applyFill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5" fontId="6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1" applyFont="1"/>
    <xf numFmtId="0" fontId="5" fillId="13" borderId="1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6" fillId="7" borderId="0" xfId="0" applyNumberFormat="1" applyFont="1" applyFill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165" fontId="6" fillId="4" borderId="0" xfId="0" applyNumberFormat="1" applyFont="1" applyFill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165" fontId="6" fillId="5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5" fillId="8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/>
    </xf>
    <xf numFmtId="0" fontId="7" fillId="3" borderId="0" xfId="0" applyFont="1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4" fillId="9" borderId="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165" fontId="8" fillId="9" borderId="0" xfId="0" applyNumberFormat="1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0" xfId="0" applyFont="1" applyFill="1"/>
    <xf numFmtId="0" fontId="5" fillId="1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1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5" borderId="0" xfId="0" applyFont="1" applyFill="1"/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0" fontId="7" fillId="6" borderId="0" xfId="0" applyFont="1" applyFill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2" fontId="7" fillId="0" borderId="0" xfId="0" applyNumberFormat="1" applyFont="1"/>
    <xf numFmtId="166" fontId="7" fillId="0" borderId="0" xfId="0" applyNumberFormat="1" applyFont="1"/>
    <xf numFmtId="0" fontId="1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0" fontId="14" fillId="0" borderId="1" xfId="0" applyFont="1" applyBorder="1" applyAlignment="1">
      <alignment horizontal="left" vertical="center" wrapText="1"/>
    </xf>
    <xf numFmtId="167" fontId="0" fillId="0" borderId="0" xfId="0" applyNumberFormat="1"/>
    <xf numFmtId="0" fontId="16" fillId="0" borderId="1" xfId="0" applyFont="1" applyFill="1" applyBorder="1" applyAlignment="1">
      <alignment horizontal="left" vertical="center" wrapText="1"/>
    </xf>
    <xf numFmtId="165" fontId="6" fillId="17" borderId="0" xfId="0" applyNumberFormat="1" applyFont="1" applyFill="1" applyAlignment="1">
      <alignment vertical="center" wrapText="1"/>
    </xf>
    <xf numFmtId="165" fontId="6" fillId="18" borderId="1" xfId="0" applyNumberFormat="1" applyFont="1" applyFill="1" applyBorder="1" applyAlignment="1">
      <alignment horizontal="center" vertical="center"/>
    </xf>
    <xf numFmtId="9" fontId="6" fillId="18" borderId="1" xfId="2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7" fillId="18" borderId="0" xfId="0" applyFont="1" applyFill="1"/>
    <xf numFmtId="165" fontId="6" fillId="18" borderId="0" xfId="0" applyNumberFormat="1" applyFont="1" applyFill="1" applyAlignment="1">
      <alignment horizontal="center" vertical="center"/>
    </xf>
    <xf numFmtId="165" fontId="6" fillId="18" borderId="0" xfId="0" applyNumberFormat="1" applyFont="1" applyFill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9" fontId="0" fillId="0" borderId="0" xfId="2" applyFont="1"/>
    <xf numFmtId="9" fontId="1" fillId="0" borderId="0" xfId="2" applyFont="1"/>
    <xf numFmtId="0" fontId="3" fillId="0" borderId="0" xfId="0" applyFont="1"/>
    <xf numFmtId="0" fontId="0" fillId="0" borderId="0" xfId="0" applyNumberFormat="1"/>
    <xf numFmtId="167" fontId="6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" fontId="1" fillId="0" borderId="0" xfId="0" applyNumberFormat="1" applyFont="1"/>
    <xf numFmtId="1" fontId="0" fillId="0" borderId="0" xfId="0" applyNumberFormat="1"/>
    <xf numFmtId="164" fontId="0" fillId="0" borderId="0" xfId="1" applyFont="1" applyAlignment="1">
      <alignment wrapText="1"/>
    </xf>
    <xf numFmtId="0" fontId="0" fillId="0" borderId="0" xfId="0" applyNumberFormat="1" applyAlignment="1">
      <alignment wrapText="1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wrapText="1"/>
    </xf>
    <xf numFmtId="0" fontId="17" fillId="9" borderId="1" xfId="0" applyFont="1" applyFill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9" fontId="3" fillId="0" borderId="0" xfId="2" applyFont="1" applyAlignment="1">
      <alignment horizontal="center" wrapText="1"/>
    </xf>
    <xf numFmtId="9" fontId="3" fillId="0" borderId="0" xfId="2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topLeftCell="A4" zoomScaleNormal="100" workbookViewId="0">
      <selection activeCell="V31" sqref="V31"/>
    </sheetView>
  </sheetViews>
  <sheetFormatPr defaultRowHeight="12.75" x14ac:dyDescent="0.2"/>
  <cols>
    <col min="1" max="1" width="24.28515625" customWidth="1"/>
    <col min="2" max="2" width="48.140625" customWidth="1"/>
    <col min="3" max="3" width="22.7109375" style="1" customWidth="1"/>
    <col min="4" max="4" width="19.5703125" style="1" customWidth="1"/>
    <col min="5" max="5" width="17.5703125" style="1" customWidth="1"/>
    <col min="6" max="6" width="13.85546875" customWidth="1"/>
    <col min="7" max="7" width="16.5703125" customWidth="1"/>
    <col min="8" max="8" width="16.140625" customWidth="1"/>
    <col min="9" max="10" width="11" hidden="1" customWidth="1"/>
    <col min="11" max="11" width="21.7109375" style="34" customWidth="1"/>
    <col min="12" max="12" width="13.28515625" customWidth="1"/>
    <col min="13" max="14" width="0" hidden="1" customWidth="1"/>
    <col min="15" max="15" width="20.140625" hidden="1" customWidth="1"/>
    <col min="16" max="16" width="0" hidden="1" customWidth="1"/>
    <col min="17" max="17" width="14.5703125" hidden="1" customWidth="1"/>
    <col min="18" max="18" width="0" hidden="1" customWidth="1"/>
  </cols>
  <sheetData>
    <row r="2" spans="1:17" ht="105" x14ac:dyDescent="0.2">
      <c r="A2" s="36" t="s">
        <v>17</v>
      </c>
      <c r="B2" s="37" t="s">
        <v>18</v>
      </c>
      <c r="C2" s="38" t="s">
        <v>28</v>
      </c>
      <c r="D2" s="38" t="s">
        <v>34</v>
      </c>
      <c r="E2" s="38" t="s">
        <v>35</v>
      </c>
      <c r="F2" s="38" t="s">
        <v>21</v>
      </c>
      <c r="G2" s="38" t="s">
        <v>22</v>
      </c>
      <c r="H2" s="38" t="s">
        <v>0</v>
      </c>
      <c r="I2" s="39"/>
      <c r="J2" s="40" t="s">
        <v>37</v>
      </c>
      <c r="K2" s="40" t="s">
        <v>38</v>
      </c>
      <c r="L2" s="35"/>
      <c r="M2" s="20"/>
      <c r="N2" s="20"/>
      <c r="O2" s="112" t="s">
        <v>23</v>
      </c>
      <c r="P2" s="20">
        <v>2600</v>
      </c>
      <c r="Q2" s="113" t="s">
        <v>25</v>
      </c>
    </row>
    <row r="3" spans="1:17" ht="15" x14ac:dyDescent="0.2">
      <c r="A3" s="41" t="s">
        <v>5</v>
      </c>
      <c r="B3" s="42" t="s">
        <v>6</v>
      </c>
      <c r="C3" s="43"/>
      <c r="D3" s="43"/>
      <c r="E3" s="43"/>
      <c r="F3" s="43"/>
      <c r="G3" s="43"/>
      <c r="H3" s="43"/>
      <c r="I3" s="44"/>
      <c r="J3" s="45"/>
      <c r="K3" s="40"/>
      <c r="L3" s="20"/>
      <c r="M3" s="20"/>
      <c r="N3" s="20"/>
      <c r="O3" s="113" t="s">
        <v>21</v>
      </c>
      <c r="P3" s="113">
        <v>1000</v>
      </c>
      <c r="Q3" s="113" t="s">
        <v>24</v>
      </c>
    </row>
    <row r="4" spans="1:17" ht="30" x14ac:dyDescent="0.2">
      <c r="A4" s="41" t="s">
        <v>5</v>
      </c>
      <c r="B4" s="42" t="s">
        <v>7</v>
      </c>
      <c r="C4" s="43"/>
      <c r="D4" s="43"/>
      <c r="E4" s="43"/>
      <c r="F4" s="43"/>
      <c r="G4" s="43"/>
      <c r="H4" s="43"/>
      <c r="I4" s="44"/>
      <c r="J4" s="45"/>
      <c r="K4" s="40"/>
      <c r="L4" s="20"/>
      <c r="M4" s="20"/>
      <c r="N4" s="20"/>
      <c r="O4" s="113" t="s">
        <v>26</v>
      </c>
      <c r="P4" s="20">
        <v>12</v>
      </c>
      <c r="Q4" s="20"/>
    </row>
    <row r="5" spans="1:17" ht="15" x14ac:dyDescent="0.25">
      <c r="A5" s="41" t="s">
        <v>5</v>
      </c>
      <c r="B5" s="42" t="s">
        <v>8</v>
      </c>
      <c r="C5" s="43"/>
      <c r="D5" s="43"/>
      <c r="E5" s="43"/>
      <c r="F5" s="43"/>
      <c r="G5" s="43"/>
      <c r="H5" s="43"/>
      <c r="I5" s="44"/>
      <c r="J5" s="2"/>
      <c r="K5" s="46"/>
    </row>
    <row r="6" spans="1:17" ht="15" x14ac:dyDescent="0.25">
      <c r="A6" s="41" t="s">
        <v>5</v>
      </c>
      <c r="B6" s="42" t="s">
        <v>56</v>
      </c>
      <c r="C6" s="43"/>
      <c r="D6" s="43"/>
      <c r="E6" s="43"/>
      <c r="F6" s="43"/>
      <c r="G6" s="43"/>
      <c r="H6" s="43"/>
      <c r="I6" s="44"/>
      <c r="J6" s="2"/>
      <c r="K6" s="46"/>
    </row>
    <row r="7" spans="1:17" ht="15" x14ac:dyDescent="0.25">
      <c r="A7" s="41" t="s">
        <v>5</v>
      </c>
      <c r="B7" s="42" t="s">
        <v>9</v>
      </c>
      <c r="C7" s="43"/>
      <c r="D7" s="43"/>
      <c r="E7" s="43"/>
      <c r="F7" s="43"/>
      <c r="G7" s="43"/>
      <c r="H7" s="43"/>
      <c r="I7" s="44"/>
      <c r="J7" s="2"/>
      <c r="K7" s="46"/>
    </row>
    <row r="8" spans="1:17" ht="15" x14ac:dyDescent="0.25">
      <c r="A8" s="41" t="s">
        <v>5</v>
      </c>
      <c r="B8" s="42" t="s">
        <v>10</v>
      </c>
      <c r="C8" s="43"/>
      <c r="D8" s="43"/>
      <c r="E8" s="43"/>
      <c r="F8" s="43"/>
      <c r="G8" s="43"/>
      <c r="H8" s="43"/>
      <c r="I8" s="44"/>
      <c r="J8" s="2"/>
      <c r="K8" s="46"/>
    </row>
    <row r="9" spans="1:17" ht="15" x14ac:dyDescent="0.25">
      <c r="A9" s="41" t="s">
        <v>5</v>
      </c>
      <c r="B9" s="42" t="s">
        <v>49</v>
      </c>
      <c r="C9" s="43"/>
      <c r="D9" s="43"/>
      <c r="E9" s="43"/>
      <c r="F9" s="43"/>
      <c r="G9" s="43"/>
      <c r="H9" s="43"/>
      <c r="I9" s="44"/>
      <c r="J9" s="2"/>
      <c r="K9" s="46"/>
    </row>
    <row r="10" spans="1:17" ht="15" x14ac:dyDescent="0.25">
      <c r="A10" s="41" t="s">
        <v>5</v>
      </c>
      <c r="B10" s="47" t="s">
        <v>3</v>
      </c>
      <c r="C10" s="43"/>
      <c r="D10" s="43"/>
      <c r="E10" s="43"/>
      <c r="F10" s="43"/>
      <c r="G10" s="43"/>
      <c r="H10" s="43"/>
      <c r="I10" s="44"/>
      <c r="J10" s="2"/>
      <c r="K10" s="46"/>
    </row>
    <row r="11" spans="1:17" ht="15" x14ac:dyDescent="0.25">
      <c r="A11" s="41" t="s">
        <v>19</v>
      </c>
      <c r="B11" s="42" t="s">
        <v>20</v>
      </c>
      <c r="C11" s="3">
        <f>1.33+0.25</f>
        <v>1.58</v>
      </c>
      <c r="D11" s="3">
        <f>C11*E11</f>
        <v>1.58</v>
      </c>
      <c r="E11" s="4">
        <v>1</v>
      </c>
      <c r="F11" s="48"/>
      <c r="G11" s="48"/>
      <c r="H11" s="48"/>
      <c r="I11" s="44"/>
      <c r="J11" s="2"/>
      <c r="K11" s="49">
        <f>D11</f>
        <v>1.58</v>
      </c>
    </row>
    <row r="12" spans="1:17" ht="15" x14ac:dyDescent="0.25">
      <c r="A12" s="50" t="s">
        <v>5</v>
      </c>
      <c r="B12" s="51" t="s">
        <v>11</v>
      </c>
      <c r="C12" s="52">
        <f>H12/$P$3/$P$4</f>
        <v>4.1666666666666664E-2</v>
      </c>
      <c r="D12" s="5">
        <f t="shared" ref="D12:D30" si="0">C12*E12</f>
        <v>4.1666666666666664E-2</v>
      </c>
      <c r="E12" s="6">
        <v>1</v>
      </c>
      <c r="F12" s="53">
        <v>50</v>
      </c>
      <c r="G12" s="52">
        <v>10</v>
      </c>
      <c r="H12" s="52">
        <f>F12*G12</f>
        <v>500</v>
      </c>
      <c r="I12" s="44"/>
      <c r="J12" s="2"/>
      <c r="K12" s="46"/>
    </row>
    <row r="13" spans="1:17" ht="15" x14ac:dyDescent="0.2">
      <c r="A13" s="7" t="s">
        <v>27</v>
      </c>
      <c r="B13" s="24"/>
      <c r="C13" s="8">
        <f>C11+C12</f>
        <v>1.6216666666666668</v>
      </c>
      <c r="D13" s="8">
        <f>SUM(D11:D12)</f>
        <v>1.6216666666666668</v>
      </c>
      <c r="E13" s="9">
        <v>1</v>
      </c>
      <c r="F13" s="10"/>
      <c r="G13" s="8"/>
      <c r="H13" s="8"/>
      <c r="I13" s="54"/>
      <c r="J13" s="16">
        <f>C11+C12</f>
        <v>1.6216666666666668</v>
      </c>
      <c r="K13" s="27">
        <f>D13</f>
        <v>1.6216666666666668</v>
      </c>
    </row>
    <row r="14" spans="1:17" ht="15" x14ac:dyDescent="0.25">
      <c r="A14" s="55" t="s">
        <v>12</v>
      </c>
      <c r="B14" s="56" t="s">
        <v>1</v>
      </c>
      <c r="C14" s="52">
        <f t="shared" ref="C14:C17" si="1">H14/$P$3/$P$4</f>
        <v>1.6666666666666666E-2</v>
      </c>
      <c r="D14" s="5">
        <f>C14*E14</f>
        <v>1.6666666666666666E-2</v>
      </c>
      <c r="E14" s="6">
        <v>1</v>
      </c>
      <c r="F14" s="53">
        <v>20</v>
      </c>
      <c r="G14" s="52">
        <v>10</v>
      </c>
      <c r="H14" s="52">
        <f t="shared" ref="H14:H30" si="2">F14*G14</f>
        <v>200</v>
      </c>
      <c r="I14" s="54"/>
      <c r="J14" s="45"/>
      <c r="K14" s="28"/>
      <c r="L14" s="2"/>
    </row>
    <row r="15" spans="1:17" ht="15" x14ac:dyDescent="0.25">
      <c r="A15" s="55" t="s">
        <v>12</v>
      </c>
      <c r="B15" s="56" t="s">
        <v>2</v>
      </c>
      <c r="C15" s="52">
        <f t="shared" si="1"/>
        <v>0.16666666666666666</v>
      </c>
      <c r="D15" s="5">
        <f t="shared" si="0"/>
        <v>0.16666666666666666</v>
      </c>
      <c r="E15" s="6">
        <v>1</v>
      </c>
      <c r="F15" s="53">
        <v>100</v>
      </c>
      <c r="G15" s="52">
        <v>20</v>
      </c>
      <c r="H15" s="52">
        <f t="shared" si="2"/>
        <v>2000</v>
      </c>
      <c r="I15" s="54"/>
      <c r="J15" s="45"/>
      <c r="K15" s="29"/>
      <c r="L15" s="2"/>
    </row>
    <row r="16" spans="1:17" ht="15" x14ac:dyDescent="0.25">
      <c r="A16" s="55" t="s">
        <v>12</v>
      </c>
      <c r="B16" s="56" t="s">
        <v>4</v>
      </c>
      <c r="C16" s="52">
        <f t="shared" si="1"/>
        <v>7.4999999999999997E-2</v>
      </c>
      <c r="D16" s="5">
        <f t="shared" si="0"/>
        <v>7.4999999999999997E-2</v>
      </c>
      <c r="E16" s="6">
        <v>1</v>
      </c>
      <c r="F16" s="53">
        <v>100</v>
      </c>
      <c r="G16" s="52">
        <v>9</v>
      </c>
      <c r="H16" s="52">
        <f t="shared" si="2"/>
        <v>900</v>
      </c>
      <c r="I16" s="54"/>
      <c r="J16" s="45"/>
      <c r="K16" s="29"/>
      <c r="L16" s="2"/>
    </row>
    <row r="17" spans="1:12" ht="15" x14ac:dyDescent="0.25">
      <c r="A17" s="55" t="s">
        <v>12</v>
      </c>
      <c r="B17" s="56" t="s">
        <v>36</v>
      </c>
      <c r="C17" s="52">
        <f t="shared" si="1"/>
        <v>0</v>
      </c>
      <c r="D17" s="5">
        <f t="shared" si="0"/>
        <v>0</v>
      </c>
      <c r="E17" s="6">
        <v>1</v>
      </c>
      <c r="F17" s="53">
        <v>0</v>
      </c>
      <c r="G17" s="52">
        <v>10</v>
      </c>
      <c r="H17" s="52">
        <f>F17*G17</f>
        <v>0</v>
      </c>
      <c r="I17" s="54"/>
      <c r="J17" s="45"/>
      <c r="K17" s="29"/>
      <c r="L17" s="2"/>
    </row>
    <row r="18" spans="1:12" ht="30" x14ac:dyDescent="0.2">
      <c r="A18" s="7" t="s">
        <v>29</v>
      </c>
      <c r="B18" s="11"/>
      <c r="C18" s="8">
        <f>SUM(C14:C17)</f>
        <v>0.2583333333333333</v>
      </c>
      <c r="D18" s="8">
        <f>SUM(D14:D17)</f>
        <v>0.2583333333333333</v>
      </c>
      <c r="E18" s="9"/>
      <c r="F18" s="12"/>
      <c r="G18" s="13"/>
      <c r="H18" s="13"/>
      <c r="I18" s="54"/>
      <c r="J18" s="17">
        <f>C13+C18</f>
        <v>1.8800000000000001</v>
      </c>
      <c r="K18" s="30">
        <f>D13+D18</f>
        <v>1.8800000000000001</v>
      </c>
    </row>
    <row r="19" spans="1:12" ht="15" x14ac:dyDescent="0.25">
      <c r="A19" s="57" t="s">
        <v>15</v>
      </c>
      <c r="B19" s="56" t="s">
        <v>39</v>
      </c>
      <c r="C19" s="52">
        <f>H19/$P$3/$P$4</f>
        <v>0</v>
      </c>
      <c r="D19" s="5">
        <f t="shared" si="0"/>
        <v>0</v>
      </c>
      <c r="E19" s="6">
        <v>1</v>
      </c>
      <c r="F19" s="53">
        <v>0</v>
      </c>
      <c r="G19" s="52">
        <v>18</v>
      </c>
      <c r="H19" s="52">
        <f t="shared" si="2"/>
        <v>0</v>
      </c>
      <c r="I19" s="58"/>
      <c r="J19" s="45"/>
      <c r="K19" s="29"/>
      <c r="L19" s="2"/>
    </row>
    <row r="20" spans="1:12" ht="30" x14ac:dyDescent="0.25">
      <c r="A20" s="57" t="s">
        <v>31</v>
      </c>
      <c r="B20" s="56" t="s">
        <v>30</v>
      </c>
      <c r="C20" s="52">
        <f>H20/$P$3/$P$4</f>
        <v>0</v>
      </c>
      <c r="D20" s="5">
        <f t="shared" si="0"/>
        <v>0</v>
      </c>
      <c r="E20" s="6">
        <v>1</v>
      </c>
      <c r="F20" s="53">
        <v>0</v>
      </c>
      <c r="G20" s="52">
        <v>17</v>
      </c>
      <c r="H20" s="52">
        <f t="shared" si="2"/>
        <v>0</v>
      </c>
      <c r="I20" s="58"/>
      <c r="J20" s="45"/>
      <c r="K20" s="29"/>
      <c r="L20" s="2"/>
    </row>
    <row r="21" spans="1:12" ht="15" x14ac:dyDescent="0.25">
      <c r="A21" s="57" t="s">
        <v>15</v>
      </c>
      <c r="B21" s="56" t="s">
        <v>40</v>
      </c>
      <c r="C21" s="52">
        <f>H21/$P$3/$P$4</f>
        <v>0.1875</v>
      </c>
      <c r="D21" s="5">
        <f t="shared" si="0"/>
        <v>0.1875</v>
      </c>
      <c r="E21" s="6">
        <v>1</v>
      </c>
      <c r="F21" s="53">
        <v>150</v>
      </c>
      <c r="G21" s="52">
        <v>15</v>
      </c>
      <c r="H21" s="52">
        <f t="shared" si="2"/>
        <v>2250</v>
      </c>
      <c r="I21" s="58"/>
      <c r="J21" s="45"/>
      <c r="K21" s="29"/>
      <c r="L21" s="2"/>
    </row>
    <row r="22" spans="1:12" ht="30" x14ac:dyDescent="0.25">
      <c r="A22" s="57" t="s">
        <v>15</v>
      </c>
      <c r="B22" s="56" t="s">
        <v>43</v>
      </c>
      <c r="C22" s="52">
        <f>H22/$P$3/$P$4</f>
        <v>0.1875</v>
      </c>
      <c r="D22" s="5">
        <f t="shared" si="0"/>
        <v>0.1875</v>
      </c>
      <c r="E22" s="6">
        <v>1</v>
      </c>
      <c r="F22" s="53">
        <v>150</v>
      </c>
      <c r="G22" s="52">
        <v>15</v>
      </c>
      <c r="H22" s="52">
        <f t="shared" si="2"/>
        <v>2250</v>
      </c>
      <c r="I22" s="58"/>
      <c r="J22" s="45"/>
      <c r="K22" s="29"/>
      <c r="L22" s="2"/>
    </row>
    <row r="23" spans="1:12" ht="15" x14ac:dyDescent="0.2">
      <c r="A23" s="7" t="s">
        <v>32</v>
      </c>
      <c r="B23" s="11"/>
      <c r="C23" s="8">
        <f>SUM(C19:C22)</f>
        <v>0.375</v>
      </c>
      <c r="D23" s="8">
        <f>SUM(D19:D22)</f>
        <v>0.375</v>
      </c>
      <c r="E23" s="9"/>
      <c r="F23" s="12"/>
      <c r="G23" s="13"/>
      <c r="H23" s="13"/>
      <c r="I23" s="58"/>
      <c r="J23" s="18">
        <f>J18+C23</f>
        <v>2.2549999999999999</v>
      </c>
      <c r="K23" s="31">
        <f>K18+D23</f>
        <v>2.2549999999999999</v>
      </c>
    </row>
    <row r="24" spans="1:12" ht="15" x14ac:dyDescent="0.2">
      <c r="A24" s="59" t="s">
        <v>12</v>
      </c>
      <c r="B24" s="56" t="s">
        <v>13</v>
      </c>
      <c r="C24" s="52">
        <f t="shared" ref="C24:C30" si="3">H24/$P$3/$P$4</f>
        <v>6.25E-2</v>
      </c>
      <c r="D24" s="5">
        <f>C24*E24</f>
        <v>6.25E-2</v>
      </c>
      <c r="E24" s="6">
        <v>1</v>
      </c>
      <c r="F24" s="53">
        <v>50</v>
      </c>
      <c r="G24" s="52">
        <v>15</v>
      </c>
      <c r="H24" s="52">
        <f>F24*G24</f>
        <v>750</v>
      </c>
      <c r="I24" s="54"/>
      <c r="J24" s="45"/>
      <c r="K24" s="29"/>
    </row>
    <row r="25" spans="1:12" ht="30" x14ac:dyDescent="0.2">
      <c r="A25" s="59" t="s">
        <v>12</v>
      </c>
      <c r="B25" s="56" t="s">
        <v>14</v>
      </c>
      <c r="C25" s="52">
        <f t="shared" si="3"/>
        <v>0.125</v>
      </c>
      <c r="D25" s="5">
        <f>C25*E25</f>
        <v>0.125</v>
      </c>
      <c r="E25" s="6">
        <v>1</v>
      </c>
      <c r="F25" s="53">
        <v>100</v>
      </c>
      <c r="G25" s="52">
        <v>15</v>
      </c>
      <c r="H25" s="52">
        <f>F25*G25</f>
        <v>1500</v>
      </c>
      <c r="I25" s="54"/>
      <c r="J25" s="45"/>
      <c r="K25" s="32"/>
    </row>
    <row r="26" spans="1:12" ht="15" x14ac:dyDescent="0.2">
      <c r="A26" s="59" t="s">
        <v>16</v>
      </c>
      <c r="B26" s="60" t="s">
        <v>57</v>
      </c>
      <c r="C26" s="52">
        <f t="shared" si="3"/>
        <v>6.25E-2</v>
      </c>
      <c r="D26" s="5">
        <f t="shared" si="0"/>
        <v>6.25E-2</v>
      </c>
      <c r="E26" s="6">
        <v>1</v>
      </c>
      <c r="F26" s="53">
        <v>50</v>
      </c>
      <c r="G26" s="52">
        <v>15</v>
      </c>
      <c r="H26" s="52">
        <f t="shared" si="2"/>
        <v>750</v>
      </c>
      <c r="I26" s="61"/>
      <c r="J26" s="45"/>
      <c r="K26" s="29"/>
    </row>
    <row r="27" spans="1:12" ht="15" x14ac:dyDescent="0.2">
      <c r="A27" s="59" t="s">
        <v>16</v>
      </c>
      <c r="B27" s="60" t="s">
        <v>58</v>
      </c>
      <c r="C27" s="52">
        <f t="shared" si="3"/>
        <v>5.6250000000000001E-2</v>
      </c>
      <c r="D27" s="5">
        <f t="shared" si="0"/>
        <v>5.6250000000000001E-2</v>
      </c>
      <c r="E27" s="6">
        <v>1</v>
      </c>
      <c r="F27" s="53">
        <v>45</v>
      </c>
      <c r="G27" s="52">
        <v>15</v>
      </c>
      <c r="H27" s="52">
        <f t="shared" si="2"/>
        <v>675</v>
      </c>
      <c r="I27" s="61"/>
      <c r="J27" s="45"/>
      <c r="K27" s="29"/>
    </row>
    <row r="28" spans="1:12" ht="15" x14ac:dyDescent="0.2">
      <c r="A28" s="59" t="s">
        <v>16</v>
      </c>
      <c r="B28" s="60" t="s">
        <v>59</v>
      </c>
      <c r="C28" s="52">
        <f t="shared" si="3"/>
        <v>3.7499999999999999E-2</v>
      </c>
      <c r="D28" s="5">
        <f t="shared" si="0"/>
        <v>3.7499999999999999E-2</v>
      </c>
      <c r="E28" s="6">
        <v>1</v>
      </c>
      <c r="F28" s="53">
        <v>30</v>
      </c>
      <c r="G28" s="52">
        <v>15</v>
      </c>
      <c r="H28" s="52">
        <f t="shared" si="2"/>
        <v>450</v>
      </c>
      <c r="I28" s="61"/>
      <c r="J28" s="45"/>
      <c r="K28" s="29"/>
    </row>
    <row r="29" spans="1:12" ht="15" x14ac:dyDescent="0.2">
      <c r="A29" s="59" t="s">
        <v>16</v>
      </c>
      <c r="B29" s="60" t="s">
        <v>60</v>
      </c>
      <c r="C29" s="52">
        <f t="shared" si="3"/>
        <v>3.7499999999999999E-2</v>
      </c>
      <c r="D29" s="5">
        <f t="shared" si="0"/>
        <v>3.7499999999999999E-2</v>
      </c>
      <c r="E29" s="6">
        <v>1</v>
      </c>
      <c r="F29" s="53">
        <v>30</v>
      </c>
      <c r="G29" s="52">
        <v>15</v>
      </c>
      <c r="H29" s="52">
        <f t="shared" si="2"/>
        <v>450</v>
      </c>
      <c r="I29" s="61"/>
      <c r="J29" s="45"/>
      <c r="K29" s="29"/>
    </row>
    <row r="30" spans="1:12" ht="15" x14ac:dyDescent="0.2">
      <c r="A30" s="59" t="s">
        <v>16</v>
      </c>
      <c r="B30" s="60" t="s">
        <v>61</v>
      </c>
      <c r="C30" s="52">
        <f t="shared" si="3"/>
        <v>3.7499999999999999E-2</v>
      </c>
      <c r="D30" s="5">
        <f t="shared" si="0"/>
        <v>3.7499999999999999E-2</v>
      </c>
      <c r="E30" s="6">
        <v>1</v>
      </c>
      <c r="F30" s="53">
        <v>30</v>
      </c>
      <c r="G30" s="52">
        <v>15</v>
      </c>
      <c r="H30" s="52">
        <f t="shared" si="2"/>
        <v>450</v>
      </c>
      <c r="I30" s="61"/>
      <c r="J30" s="45"/>
      <c r="K30" s="29"/>
    </row>
    <row r="31" spans="1:12" ht="30" x14ac:dyDescent="0.2">
      <c r="A31" s="14" t="s">
        <v>33</v>
      </c>
      <c r="B31" s="62"/>
      <c r="C31" s="15">
        <f>SUM(C24:C30)</f>
        <v>0.41874999999999996</v>
      </c>
      <c r="D31" s="15">
        <f>SUM(D24:D30)</f>
        <v>0.41874999999999996</v>
      </c>
      <c r="E31" s="6"/>
      <c r="F31" s="63">
        <f>SUM(F24:F30)</f>
        <v>335</v>
      </c>
      <c r="G31" s="64"/>
      <c r="H31" s="64">
        <f>SUM(H24:H30)</f>
        <v>5025</v>
      </c>
      <c r="I31" s="65"/>
      <c r="J31" s="19">
        <f>J23+C31</f>
        <v>2.6737500000000001</v>
      </c>
      <c r="K31" s="33">
        <f>K23+D31</f>
        <v>2.6737500000000001</v>
      </c>
      <c r="L31" s="23"/>
    </row>
    <row r="32" spans="1:12" ht="14.25" x14ac:dyDescent="0.2">
      <c r="A32" s="39"/>
      <c r="B32" s="39"/>
      <c r="C32" s="66"/>
      <c r="D32" s="66"/>
      <c r="E32" s="66"/>
      <c r="F32" s="39"/>
      <c r="G32" s="39"/>
      <c r="H32" s="67"/>
      <c r="I32" s="39"/>
      <c r="J32" s="39"/>
      <c r="K32" s="68"/>
    </row>
    <row r="33" spans="1:17" ht="15" x14ac:dyDescent="0.25">
      <c r="A33" s="2" t="s">
        <v>41</v>
      </c>
      <c r="B33" s="39" t="s">
        <v>42</v>
      </c>
      <c r="C33" s="66"/>
      <c r="D33" s="66"/>
      <c r="E33" s="66"/>
      <c r="F33" s="39"/>
      <c r="G33" s="39"/>
      <c r="H33" s="39"/>
      <c r="I33" s="39"/>
      <c r="J33" s="39"/>
      <c r="K33" s="68"/>
    </row>
    <row r="34" spans="1:17" s="1" customFormat="1" ht="14.25" x14ac:dyDescent="0.2">
      <c r="A34" s="39"/>
      <c r="B34" s="39"/>
      <c r="C34" s="66"/>
      <c r="D34" s="69"/>
      <c r="E34" s="66"/>
      <c r="F34" s="39"/>
      <c r="G34" s="39"/>
      <c r="H34" s="39"/>
      <c r="I34" s="39"/>
      <c r="J34" s="39"/>
      <c r="K34" s="68"/>
      <c r="L34"/>
      <c r="M34"/>
      <c r="N34"/>
      <c r="O34"/>
      <c r="P34"/>
      <c r="Q34"/>
    </row>
    <row r="35" spans="1:17" ht="14.25" x14ac:dyDescent="0.2">
      <c r="A35" s="39"/>
      <c r="B35" s="39"/>
      <c r="C35" s="39"/>
      <c r="D35" s="39"/>
      <c r="E35" s="70"/>
      <c r="F35" s="39"/>
      <c r="G35" s="39"/>
      <c r="H35" s="39"/>
      <c r="I35" s="39"/>
      <c r="J35" s="39"/>
      <c r="K35" s="68"/>
    </row>
    <row r="36" spans="1:17" ht="15" x14ac:dyDescent="0.25">
      <c r="A36" s="39"/>
      <c r="B36" s="39"/>
      <c r="C36" s="39"/>
      <c r="D36" s="39"/>
      <c r="E36" s="114" t="s">
        <v>50</v>
      </c>
      <c r="F36" s="114"/>
      <c r="G36" s="114"/>
      <c r="H36" s="39"/>
      <c r="I36" s="39"/>
      <c r="J36" s="39"/>
      <c r="K36" s="68"/>
    </row>
    <row r="37" spans="1:17" ht="14.25" x14ac:dyDescent="0.2">
      <c r="A37" s="39"/>
      <c r="B37" s="39"/>
      <c r="C37" s="39">
        <v>2012</v>
      </c>
      <c r="D37" s="39" t="s">
        <v>48</v>
      </c>
      <c r="E37" s="39">
        <v>3</v>
      </c>
      <c r="F37" s="39">
        <v>1</v>
      </c>
      <c r="G37" s="39">
        <v>3.2</v>
      </c>
      <c r="H37" s="39"/>
      <c r="I37" s="39">
        <v>0.86</v>
      </c>
      <c r="J37" s="39"/>
      <c r="K37" s="68"/>
    </row>
    <row r="38" spans="1:17" ht="15" x14ac:dyDescent="0.25">
      <c r="A38" s="39"/>
      <c r="B38" s="39"/>
      <c r="C38" s="39"/>
      <c r="D38" s="39"/>
      <c r="E38" s="114" t="s">
        <v>55</v>
      </c>
      <c r="F38" s="114"/>
      <c r="G38" s="114"/>
      <c r="H38" s="39"/>
      <c r="I38" s="39"/>
      <c r="J38" s="39"/>
      <c r="K38" s="68"/>
    </row>
    <row r="39" spans="1:17" ht="14.25" x14ac:dyDescent="0.2">
      <c r="A39" s="39"/>
      <c r="B39" s="39"/>
      <c r="C39" s="71" t="s">
        <v>47</v>
      </c>
      <c r="D39" s="39">
        <v>218</v>
      </c>
      <c r="E39" s="72">
        <v>4.05</v>
      </c>
      <c r="F39" s="39">
        <v>2.5</v>
      </c>
      <c r="G39" s="73">
        <v>3</v>
      </c>
      <c r="H39" s="39"/>
      <c r="I39" s="39"/>
      <c r="J39" s="39"/>
      <c r="K39" s="68"/>
    </row>
    <row r="40" spans="1:17" ht="14.25" x14ac:dyDescent="0.2">
      <c r="A40" s="39"/>
      <c r="B40" s="39"/>
      <c r="C40" s="39"/>
      <c r="D40" s="39"/>
      <c r="E40" s="66"/>
      <c r="F40" s="39"/>
      <c r="G40" s="39"/>
      <c r="H40" s="39"/>
      <c r="I40" s="39"/>
      <c r="J40" s="39"/>
      <c r="K40" s="68"/>
    </row>
    <row r="41" spans="1:17" ht="15" x14ac:dyDescent="0.25">
      <c r="A41" s="39"/>
      <c r="B41" s="74" t="s">
        <v>54</v>
      </c>
      <c r="C41" s="75" t="s">
        <v>53</v>
      </c>
      <c r="D41" s="39"/>
      <c r="E41" s="66"/>
      <c r="F41" s="39"/>
      <c r="G41" s="39"/>
      <c r="H41" s="39"/>
      <c r="I41" s="39"/>
      <c r="J41" s="39"/>
      <c r="K41" s="68"/>
    </row>
    <row r="42" spans="1:17" ht="14.25" x14ac:dyDescent="0.2">
      <c r="A42" s="39"/>
      <c r="B42" s="39"/>
      <c r="C42" s="76" t="s">
        <v>52</v>
      </c>
      <c r="D42" s="76" t="s">
        <v>50</v>
      </c>
      <c r="E42" s="76" t="s">
        <v>51</v>
      </c>
      <c r="F42" s="76" t="s">
        <v>50</v>
      </c>
      <c r="G42" s="39"/>
      <c r="H42" s="39"/>
      <c r="I42" s="39"/>
      <c r="J42" s="39"/>
      <c r="K42" s="68"/>
    </row>
    <row r="43" spans="1:17" ht="15" x14ac:dyDescent="0.25">
      <c r="A43" s="39" t="s">
        <v>46</v>
      </c>
      <c r="B43" s="77">
        <f>2000*6.8%</f>
        <v>136</v>
      </c>
      <c r="C43" s="78">
        <f>B43*3*0.86</f>
        <v>350.88</v>
      </c>
      <c r="D43" s="79">
        <v>3</v>
      </c>
      <c r="E43" s="80">
        <f>B43*0.86*4.05</f>
        <v>473.68799999999993</v>
      </c>
      <c r="F43" s="81">
        <v>4.05</v>
      </c>
      <c r="G43" s="39"/>
      <c r="H43" s="39"/>
      <c r="I43" s="39"/>
      <c r="J43" s="39"/>
      <c r="K43" s="68"/>
    </row>
    <row r="44" spans="1:17" ht="15" x14ac:dyDescent="0.25">
      <c r="A44" s="39" t="s">
        <v>44</v>
      </c>
      <c r="B44" s="77">
        <f>2000-B43-B45</f>
        <v>1492</v>
      </c>
      <c r="C44" s="78">
        <f>0.86*B44</f>
        <v>1283.1199999999999</v>
      </c>
      <c r="D44" s="82">
        <v>1</v>
      </c>
      <c r="E44" s="80">
        <f>C44*2.5</f>
        <v>3207.7999999999997</v>
      </c>
      <c r="F44" s="81">
        <v>2.5</v>
      </c>
      <c r="G44" s="39"/>
      <c r="H44" s="39"/>
      <c r="I44" s="39"/>
      <c r="J44" s="39"/>
      <c r="K44" s="68"/>
    </row>
    <row r="45" spans="1:17" ht="15" x14ac:dyDescent="0.25">
      <c r="A45" s="39" t="s">
        <v>45</v>
      </c>
      <c r="B45" s="77">
        <f>2000*18.6%</f>
        <v>372.00000000000006</v>
      </c>
      <c r="C45" s="78">
        <f>0.86*3.2*B45</f>
        <v>1023.7440000000003</v>
      </c>
      <c r="D45" s="82">
        <v>3.2</v>
      </c>
      <c r="E45" s="80">
        <f>B45*0.86*3</f>
        <v>959.76</v>
      </c>
      <c r="F45" s="81">
        <v>3</v>
      </c>
      <c r="G45" s="39"/>
      <c r="H45" s="39"/>
      <c r="I45" s="39"/>
      <c r="J45" s="39"/>
      <c r="K45" s="68"/>
    </row>
    <row r="46" spans="1:17" ht="15" x14ac:dyDescent="0.25">
      <c r="A46" s="39"/>
      <c r="B46" s="83">
        <f>SUM(B43:B45)</f>
        <v>2000</v>
      </c>
      <c r="C46" s="78">
        <f>SUM(C43:C45)</f>
        <v>2657.7440000000001</v>
      </c>
      <c r="D46" s="84">
        <f>C46/2000</f>
        <v>1.3288720000000001</v>
      </c>
      <c r="E46" s="84">
        <f>SUM(E43:E45)</f>
        <v>4641.2479999999996</v>
      </c>
      <c r="F46" s="85">
        <f>E46/2000</f>
        <v>2.3206239999999996</v>
      </c>
      <c r="G46" s="39"/>
      <c r="H46" s="39"/>
      <c r="I46" s="39"/>
      <c r="J46" s="39"/>
      <c r="K46" s="68"/>
    </row>
    <row r="47" spans="1:17" ht="14.25" x14ac:dyDescent="0.2">
      <c r="A47" s="39"/>
      <c r="B47" s="39"/>
      <c r="C47" s="66"/>
      <c r="D47" s="66"/>
      <c r="E47" s="66"/>
      <c r="F47" s="39"/>
      <c r="G47" s="39"/>
      <c r="H47" s="39"/>
      <c r="I47" s="39"/>
      <c r="J47" s="39"/>
      <c r="K47" s="68"/>
    </row>
    <row r="48" spans="1:17" ht="14.25" x14ac:dyDescent="0.2">
      <c r="A48" s="39"/>
      <c r="B48" s="39"/>
      <c r="C48" s="66"/>
      <c r="D48" s="66"/>
      <c r="E48" s="66"/>
      <c r="F48" s="39"/>
      <c r="G48" s="39"/>
      <c r="H48" s="39"/>
      <c r="I48" s="39"/>
      <c r="J48" s="39"/>
      <c r="K48" s="68"/>
    </row>
    <row r="50" spans="2:4" x14ac:dyDescent="0.2">
      <c r="B50" s="25"/>
      <c r="C50" s="26"/>
      <c r="D50" s="26"/>
    </row>
    <row r="51" spans="2:4" x14ac:dyDescent="0.2">
      <c r="C51" s="26"/>
      <c r="D51" s="26"/>
    </row>
  </sheetData>
  <mergeCells count="2">
    <mergeCell ref="E36:G36"/>
    <mergeCell ref="E38:G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Q47"/>
  <sheetViews>
    <sheetView tabSelected="1" zoomScale="80" zoomScaleNormal="80" workbookViewId="0">
      <selection activeCell="K19" sqref="K19"/>
    </sheetView>
  </sheetViews>
  <sheetFormatPr defaultRowHeight="12.75" x14ac:dyDescent="0.2"/>
  <cols>
    <col min="1" max="1" width="24.28515625" customWidth="1"/>
    <col min="2" max="2" width="48.140625" customWidth="1"/>
    <col min="3" max="3" width="22.7109375" style="1" customWidth="1"/>
    <col min="4" max="4" width="19.5703125" style="1" customWidth="1"/>
    <col min="5" max="5" width="17.5703125" style="1" customWidth="1"/>
    <col min="6" max="6" width="13.85546875" customWidth="1"/>
    <col min="7" max="7" width="16.5703125" customWidth="1"/>
    <col min="8" max="8" width="16.140625" customWidth="1"/>
    <col min="9" max="10" width="11" hidden="1" customWidth="1"/>
    <col min="11" max="11" width="21.7109375" style="34" customWidth="1"/>
    <col min="12" max="12" width="13.28515625" customWidth="1"/>
    <col min="13" max="14" width="0" hidden="1" customWidth="1"/>
    <col min="15" max="15" width="20.140625" hidden="1" customWidth="1"/>
    <col min="16" max="16" width="0" hidden="1" customWidth="1"/>
    <col min="17" max="17" width="14.5703125" hidden="1" customWidth="1"/>
    <col min="18" max="18" width="0" hidden="1" customWidth="1"/>
  </cols>
  <sheetData>
    <row r="2" spans="1:17" ht="82.5" customHeight="1" x14ac:dyDescent="0.2">
      <c r="A2" s="36" t="s">
        <v>17</v>
      </c>
      <c r="B2" s="37" t="s">
        <v>18</v>
      </c>
      <c r="C2" s="38" t="s">
        <v>28</v>
      </c>
      <c r="D2" s="38" t="s">
        <v>34</v>
      </c>
      <c r="E2" s="38" t="s">
        <v>35</v>
      </c>
      <c r="F2" s="38" t="s">
        <v>21</v>
      </c>
      <c r="G2" s="38" t="s">
        <v>22</v>
      </c>
      <c r="H2" s="38" t="s">
        <v>0</v>
      </c>
      <c r="I2" s="39"/>
      <c r="J2" s="40" t="s">
        <v>37</v>
      </c>
      <c r="K2" s="40" t="s">
        <v>38</v>
      </c>
      <c r="L2" s="35"/>
      <c r="M2" s="20"/>
      <c r="N2" s="20"/>
      <c r="O2" s="21" t="s">
        <v>23</v>
      </c>
      <c r="P2" s="20">
        <v>2600</v>
      </c>
      <c r="Q2" s="22" t="s">
        <v>25</v>
      </c>
    </row>
    <row r="3" spans="1:17" ht="15" x14ac:dyDescent="0.2">
      <c r="A3" s="41" t="s">
        <v>77</v>
      </c>
      <c r="B3" s="42" t="s">
        <v>6</v>
      </c>
      <c r="C3" s="43"/>
      <c r="D3" s="43"/>
      <c r="E3" s="43"/>
      <c r="F3" s="43"/>
      <c r="G3" s="43"/>
      <c r="H3" s="43"/>
      <c r="I3" s="44"/>
      <c r="J3" s="45"/>
      <c r="K3" s="40"/>
      <c r="L3" s="20"/>
      <c r="M3" s="20"/>
      <c r="N3" s="20"/>
      <c r="O3" s="22" t="s">
        <v>21</v>
      </c>
      <c r="P3" s="22">
        <v>1000</v>
      </c>
      <c r="Q3" s="22" t="s">
        <v>24</v>
      </c>
    </row>
    <row r="4" spans="1:17" ht="30" x14ac:dyDescent="0.2">
      <c r="A4" s="41" t="s">
        <v>77</v>
      </c>
      <c r="B4" s="42" t="s">
        <v>7</v>
      </c>
      <c r="C4" s="43"/>
      <c r="D4" s="43"/>
      <c r="E4" s="43"/>
      <c r="F4" s="43"/>
      <c r="G4" s="43"/>
      <c r="H4" s="43"/>
      <c r="I4" s="44"/>
      <c r="J4" s="45"/>
      <c r="K4" s="40"/>
      <c r="L4" s="20"/>
      <c r="M4" s="20"/>
      <c r="N4" s="20"/>
      <c r="O4" s="22" t="s">
        <v>26</v>
      </c>
      <c r="P4" s="20">
        <v>12</v>
      </c>
      <c r="Q4" s="20"/>
    </row>
    <row r="5" spans="1:17" ht="15" x14ac:dyDescent="0.2">
      <c r="A5" s="41" t="s">
        <v>77</v>
      </c>
      <c r="B5" s="42" t="s">
        <v>20</v>
      </c>
      <c r="C5" s="95">
        <v>0.86</v>
      </c>
      <c r="D5" s="95">
        <v>0.86</v>
      </c>
      <c r="E5" s="91">
        <v>1</v>
      </c>
      <c r="F5" s="92"/>
      <c r="G5" s="90"/>
      <c r="H5" s="90"/>
      <c r="I5" s="93"/>
      <c r="J5" s="94" t="e">
        <f>#REF!+#REF!</f>
        <v>#REF!</v>
      </c>
      <c r="K5" s="95">
        <v>0.86</v>
      </c>
    </row>
    <row r="6" spans="1:17" ht="15" x14ac:dyDescent="0.25">
      <c r="A6" s="41" t="s">
        <v>77</v>
      </c>
      <c r="B6" s="56" t="s">
        <v>1</v>
      </c>
      <c r="C6" s="52">
        <f>H6/$P$3/$P$4</f>
        <v>1.6666666666666666E-2</v>
      </c>
      <c r="D6" s="5">
        <f>C6*E6</f>
        <v>1.6666666666666666E-2</v>
      </c>
      <c r="E6" s="6">
        <v>1</v>
      </c>
      <c r="F6" s="53">
        <v>20</v>
      </c>
      <c r="G6" s="52">
        <v>10</v>
      </c>
      <c r="H6" s="52">
        <f>F6*G6</f>
        <v>200</v>
      </c>
      <c r="I6" s="54"/>
      <c r="J6" s="45"/>
      <c r="K6" s="28"/>
      <c r="L6" s="2"/>
    </row>
    <row r="7" spans="1:17" ht="15" x14ac:dyDescent="0.25">
      <c r="A7" s="41" t="s">
        <v>77</v>
      </c>
      <c r="B7" s="56" t="s">
        <v>2</v>
      </c>
      <c r="C7" s="52">
        <f>H7/$P$3/$P$4</f>
        <v>0.16666666666666666</v>
      </c>
      <c r="D7" s="5">
        <f>C7*E7</f>
        <v>0.16666666666666666</v>
      </c>
      <c r="E7" s="6">
        <v>1</v>
      </c>
      <c r="F7" s="53">
        <v>100</v>
      </c>
      <c r="G7" s="52">
        <v>20</v>
      </c>
      <c r="H7" s="52">
        <f>F7*G7</f>
        <v>2000</v>
      </c>
      <c r="I7" s="54"/>
      <c r="J7" s="45"/>
      <c r="K7" s="29"/>
      <c r="L7" s="2"/>
    </row>
    <row r="8" spans="1:17" ht="15" x14ac:dyDescent="0.25">
      <c r="A8" s="41" t="s">
        <v>77</v>
      </c>
      <c r="B8" s="56" t="s">
        <v>4</v>
      </c>
      <c r="C8" s="52">
        <f>H8/$P$3/$P$4</f>
        <v>7.4999999999999997E-2</v>
      </c>
      <c r="D8" s="5">
        <f>C8*E8</f>
        <v>7.4999999999999997E-2</v>
      </c>
      <c r="E8" s="6">
        <v>1</v>
      </c>
      <c r="F8" s="53">
        <v>100</v>
      </c>
      <c r="G8" s="52">
        <v>9</v>
      </c>
      <c r="H8" s="52">
        <f>F8*G8</f>
        <v>900</v>
      </c>
      <c r="I8" s="54"/>
      <c r="J8" s="45"/>
      <c r="K8" s="29"/>
      <c r="L8" s="2"/>
    </row>
    <row r="9" spans="1:17" ht="15" x14ac:dyDescent="0.25">
      <c r="A9" s="41" t="s">
        <v>77</v>
      </c>
      <c r="B9" s="56" t="s">
        <v>36</v>
      </c>
      <c r="C9" s="52">
        <f t="shared" ref="C9" si="0">H9/$P$3/$P$4</f>
        <v>0</v>
      </c>
      <c r="D9" s="5">
        <f t="shared" ref="D9:D27" si="1">C9*E9</f>
        <v>0</v>
      </c>
      <c r="E9" s="6">
        <v>1</v>
      </c>
      <c r="F9" s="53">
        <v>0</v>
      </c>
      <c r="G9" s="52">
        <v>10</v>
      </c>
      <c r="H9" s="52">
        <f>F9*G9</f>
        <v>0</v>
      </c>
      <c r="I9" s="54"/>
      <c r="J9" s="45"/>
      <c r="K9" s="29"/>
      <c r="L9" s="2"/>
    </row>
    <row r="10" spans="1:17" ht="15" x14ac:dyDescent="0.25">
      <c r="A10" s="110" t="s">
        <v>77</v>
      </c>
      <c r="B10" s="96" t="s">
        <v>8</v>
      </c>
      <c r="C10" s="52">
        <f>H10/$P$3/$P$4</f>
        <v>5.8333333333333327E-2</v>
      </c>
      <c r="D10" s="5">
        <f>C10*E10</f>
        <v>5.8333333333333327E-2</v>
      </c>
      <c r="E10" s="6">
        <v>1</v>
      </c>
      <c r="F10" s="53">
        <v>100</v>
      </c>
      <c r="G10" s="52">
        <v>7</v>
      </c>
      <c r="H10" s="52">
        <f>F10*G10</f>
        <v>700</v>
      </c>
      <c r="I10" s="54"/>
      <c r="J10" s="45"/>
      <c r="K10" s="28"/>
      <c r="L10" s="2"/>
    </row>
    <row r="11" spans="1:17" ht="15" x14ac:dyDescent="0.25">
      <c r="A11" s="110" t="s">
        <v>77</v>
      </c>
      <c r="B11" s="88" t="s">
        <v>64</v>
      </c>
      <c r="C11" s="52">
        <f t="shared" ref="C11:C13" si="2">H11/$P$3/$P$4</f>
        <v>8.7500000000000008E-2</v>
      </c>
      <c r="D11" s="5">
        <f t="shared" ref="D11:D13" si="3">C11*E11</f>
        <v>8.7500000000000008E-2</v>
      </c>
      <c r="E11" s="6">
        <v>1</v>
      </c>
      <c r="F11" s="53">
        <v>150</v>
      </c>
      <c r="G11" s="52">
        <v>7</v>
      </c>
      <c r="H11" s="52">
        <f t="shared" ref="H11:H12" si="4">F11*G11</f>
        <v>1050</v>
      </c>
      <c r="I11" s="54"/>
      <c r="J11" s="45"/>
      <c r="K11" s="29"/>
      <c r="L11" s="2"/>
    </row>
    <row r="12" spans="1:17" ht="15" x14ac:dyDescent="0.25">
      <c r="A12" s="110" t="s">
        <v>77</v>
      </c>
      <c r="B12" s="88" t="s">
        <v>65</v>
      </c>
      <c r="C12" s="52">
        <f t="shared" si="2"/>
        <v>5.8333333333333327E-2</v>
      </c>
      <c r="D12" s="5">
        <f t="shared" si="3"/>
        <v>5.8333333333333327E-2</v>
      </c>
      <c r="E12" s="6">
        <v>1</v>
      </c>
      <c r="F12" s="53">
        <v>100</v>
      </c>
      <c r="G12" s="52">
        <v>7</v>
      </c>
      <c r="H12" s="52">
        <f t="shared" si="4"/>
        <v>700</v>
      </c>
      <c r="I12" s="54"/>
      <c r="J12" s="45"/>
      <c r="K12" s="29"/>
      <c r="L12" s="2"/>
    </row>
    <row r="13" spans="1:17" ht="15" x14ac:dyDescent="0.25">
      <c r="A13" s="110" t="s">
        <v>77</v>
      </c>
      <c r="B13" s="88" t="s">
        <v>66</v>
      </c>
      <c r="C13" s="52">
        <f t="shared" si="2"/>
        <v>5.8333333333333327E-2</v>
      </c>
      <c r="D13" s="5">
        <f t="shared" si="3"/>
        <v>5.8333333333333327E-2</v>
      </c>
      <c r="E13" s="6">
        <v>1</v>
      </c>
      <c r="F13" s="53">
        <v>100</v>
      </c>
      <c r="G13" s="52">
        <v>7</v>
      </c>
      <c r="H13" s="52">
        <f>F13*G13</f>
        <v>700</v>
      </c>
      <c r="I13" s="54"/>
      <c r="J13" s="45"/>
      <c r="K13" s="29"/>
      <c r="L13" s="2"/>
    </row>
    <row r="14" spans="1:17" ht="15" x14ac:dyDescent="0.2">
      <c r="A14" s="7" t="s">
        <v>78</v>
      </c>
      <c r="B14" s="11"/>
      <c r="C14" s="8">
        <f>SUM(C6:C13)</f>
        <v>0.52083333333333337</v>
      </c>
      <c r="D14" s="8">
        <f>SUM(D6:D13)</f>
        <v>0.52083333333333337</v>
      </c>
      <c r="E14" s="9"/>
      <c r="F14" s="12"/>
      <c r="G14" s="13"/>
      <c r="H14" s="13"/>
      <c r="I14" s="54"/>
      <c r="J14" s="17">
        <f>C5+C14</f>
        <v>1.3808333333333334</v>
      </c>
      <c r="K14" s="89">
        <f>D5+D14</f>
        <v>1.3808333333333334</v>
      </c>
    </row>
    <row r="15" spans="1:17" ht="15" x14ac:dyDescent="0.25">
      <c r="A15" s="41" t="s">
        <v>77</v>
      </c>
      <c r="B15" s="56" t="s">
        <v>39</v>
      </c>
      <c r="C15" s="52">
        <f>H15/$P$3/$P$4</f>
        <v>1.4999999999999999E-2</v>
      </c>
      <c r="D15" s="5">
        <f t="shared" si="1"/>
        <v>1.4999999999999999E-2</v>
      </c>
      <c r="E15" s="6">
        <v>1</v>
      </c>
      <c r="F15" s="53">
        <v>10</v>
      </c>
      <c r="G15" s="52">
        <v>18</v>
      </c>
      <c r="H15" s="52">
        <f t="shared" ref="H15:H27" si="5">F15*G15</f>
        <v>180</v>
      </c>
      <c r="I15" s="58"/>
      <c r="J15" s="45"/>
      <c r="K15" s="29"/>
      <c r="L15" s="2"/>
    </row>
    <row r="16" spans="1:17" ht="30" x14ac:dyDescent="0.25">
      <c r="A16" s="41" t="s">
        <v>77</v>
      </c>
      <c r="B16" s="56" t="s">
        <v>30</v>
      </c>
      <c r="C16" s="52">
        <f>H16/$P$3/$P$4</f>
        <v>1.4166666666666668E-2</v>
      </c>
      <c r="D16" s="5">
        <f t="shared" si="1"/>
        <v>1.4166666666666668E-2</v>
      </c>
      <c r="E16" s="6">
        <v>1</v>
      </c>
      <c r="F16" s="53">
        <v>10</v>
      </c>
      <c r="G16" s="52">
        <v>17</v>
      </c>
      <c r="H16" s="52">
        <f t="shared" si="5"/>
        <v>170</v>
      </c>
      <c r="I16" s="58"/>
      <c r="J16" s="45"/>
      <c r="K16" s="29"/>
      <c r="L16" s="2"/>
    </row>
    <row r="17" spans="1:17" ht="15" x14ac:dyDescent="0.25">
      <c r="A17" s="41" t="s">
        <v>77</v>
      </c>
      <c r="B17" s="56" t="s">
        <v>40</v>
      </c>
      <c r="C17" s="52">
        <f>H17/$P$3/$P$4</f>
        <v>0.1875</v>
      </c>
      <c r="D17" s="5">
        <f t="shared" si="1"/>
        <v>0.1875</v>
      </c>
      <c r="E17" s="6">
        <v>1</v>
      </c>
      <c r="F17" s="53">
        <v>150</v>
      </c>
      <c r="G17" s="52">
        <v>15</v>
      </c>
      <c r="H17" s="52">
        <f t="shared" si="5"/>
        <v>2250</v>
      </c>
      <c r="I17" s="58"/>
      <c r="J17" s="45"/>
      <c r="K17" s="29"/>
      <c r="L17" s="2"/>
    </row>
    <row r="18" spans="1:17" ht="45" x14ac:dyDescent="0.25">
      <c r="A18" s="41" t="s">
        <v>77</v>
      </c>
      <c r="B18" s="56" t="s">
        <v>62</v>
      </c>
      <c r="C18" s="52">
        <f>H18/$P$3/$P$4</f>
        <v>0.1875</v>
      </c>
      <c r="D18" s="5">
        <f t="shared" si="1"/>
        <v>0.1875</v>
      </c>
      <c r="E18" s="6">
        <v>1</v>
      </c>
      <c r="F18" s="53">
        <v>150</v>
      </c>
      <c r="G18" s="52">
        <v>15</v>
      </c>
      <c r="H18" s="52">
        <f t="shared" si="5"/>
        <v>2250</v>
      </c>
      <c r="I18" s="58"/>
      <c r="J18" s="45"/>
      <c r="K18" s="29"/>
      <c r="L18" s="2"/>
    </row>
    <row r="19" spans="1:17" ht="15" x14ac:dyDescent="0.2">
      <c r="A19" s="7" t="s">
        <v>78</v>
      </c>
      <c r="B19" s="11"/>
      <c r="C19" s="8">
        <f>SUM(C15:C18)</f>
        <v>0.40416666666666667</v>
      </c>
      <c r="D19" s="8">
        <f>SUM(D15:D18)</f>
        <v>0.40416666666666667</v>
      </c>
      <c r="E19" s="9"/>
      <c r="F19" s="12"/>
      <c r="G19" s="13"/>
      <c r="H19" s="13"/>
      <c r="I19" s="58"/>
      <c r="J19" s="18">
        <f>J14+C19</f>
        <v>1.7850000000000001</v>
      </c>
      <c r="K19" s="89">
        <f>K14+D19</f>
        <v>1.7850000000000001</v>
      </c>
    </row>
    <row r="20" spans="1:17" ht="15" x14ac:dyDescent="0.2">
      <c r="A20" s="41" t="s">
        <v>77</v>
      </c>
      <c r="B20" s="56" t="s">
        <v>13</v>
      </c>
      <c r="C20" s="52">
        <f t="shared" ref="C20:C27" si="6">H20/$P$3/$P$4</f>
        <v>6.25E-2</v>
      </c>
      <c r="D20" s="5">
        <f>C20*E20</f>
        <v>6.25E-2</v>
      </c>
      <c r="E20" s="6">
        <v>1</v>
      </c>
      <c r="F20" s="53">
        <v>50</v>
      </c>
      <c r="G20" s="52">
        <v>15</v>
      </c>
      <c r="H20" s="52">
        <f>F20*G20</f>
        <v>750</v>
      </c>
      <c r="I20" s="54"/>
      <c r="J20" s="45"/>
      <c r="K20" s="29"/>
    </row>
    <row r="21" spans="1:17" ht="30" x14ac:dyDescent="0.2">
      <c r="A21" s="41" t="s">
        <v>77</v>
      </c>
      <c r="B21" s="56" t="s">
        <v>14</v>
      </c>
      <c r="C21" s="52">
        <f t="shared" si="6"/>
        <v>0.125</v>
      </c>
      <c r="D21" s="5">
        <f>C21*E21</f>
        <v>0.125</v>
      </c>
      <c r="E21" s="6">
        <v>1</v>
      </c>
      <c r="F21" s="53">
        <v>100</v>
      </c>
      <c r="G21" s="52">
        <v>15</v>
      </c>
      <c r="H21" s="52">
        <f>F21*G21</f>
        <v>1500</v>
      </c>
      <c r="I21" s="54"/>
      <c r="J21" s="45"/>
      <c r="K21" s="32"/>
    </row>
    <row r="22" spans="1:17" ht="15" x14ac:dyDescent="0.2">
      <c r="A22" s="41" t="s">
        <v>77</v>
      </c>
      <c r="B22" s="60" t="s">
        <v>57</v>
      </c>
      <c r="C22" s="52">
        <f t="shared" si="6"/>
        <v>6.25E-2</v>
      </c>
      <c r="D22" s="5">
        <f t="shared" si="1"/>
        <v>6.25E-2</v>
      </c>
      <c r="E22" s="6">
        <v>1</v>
      </c>
      <c r="F22" s="53">
        <v>50</v>
      </c>
      <c r="G22" s="52">
        <v>15</v>
      </c>
      <c r="H22" s="52">
        <f t="shared" si="5"/>
        <v>750</v>
      </c>
      <c r="I22" s="61"/>
      <c r="J22" s="45"/>
      <c r="K22" s="29"/>
    </row>
    <row r="23" spans="1:17" ht="15" x14ac:dyDescent="0.2">
      <c r="A23" s="41" t="s">
        <v>77</v>
      </c>
      <c r="B23" s="60" t="s">
        <v>58</v>
      </c>
      <c r="C23" s="52">
        <f t="shared" si="6"/>
        <v>5.6250000000000001E-2</v>
      </c>
      <c r="D23" s="5">
        <f t="shared" si="1"/>
        <v>5.6250000000000001E-2</v>
      </c>
      <c r="E23" s="6">
        <v>1</v>
      </c>
      <c r="F23" s="53">
        <v>45</v>
      </c>
      <c r="G23" s="52">
        <v>15</v>
      </c>
      <c r="H23" s="52">
        <f t="shared" si="5"/>
        <v>675</v>
      </c>
      <c r="I23" s="61"/>
      <c r="J23" s="45"/>
      <c r="K23" s="29"/>
    </row>
    <row r="24" spans="1:17" ht="15" x14ac:dyDescent="0.2">
      <c r="A24" s="41" t="s">
        <v>77</v>
      </c>
      <c r="B24" s="60" t="s">
        <v>59</v>
      </c>
      <c r="C24" s="52">
        <f t="shared" si="6"/>
        <v>3.7499999999999999E-2</v>
      </c>
      <c r="D24" s="5">
        <f t="shared" si="1"/>
        <v>3.7499999999999999E-2</v>
      </c>
      <c r="E24" s="6">
        <v>1</v>
      </c>
      <c r="F24" s="53">
        <v>30</v>
      </c>
      <c r="G24" s="52">
        <v>15</v>
      </c>
      <c r="H24" s="52">
        <f t="shared" si="5"/>
        <v>450</v>
      </c>
      <c r="I24" s="61"/>
      <c r="J24" s="45"/>
      <c r="K24" s="29"/>
    </row>
    <row r="25" spans="1:17" ht="15" x14ac:dyDescent="0.2">
      <c r="A25" s="41" t="s">
        <v>77</v>
      </c>
      <c r="B25" s="86" t="s">
        <v>63</v>
      </c>
      <c r="C25" s="52">
        <f>H25/$P$3/$P$4</f>
        <v>6.25E-2</v>
      </c>
      <c r="D25" s="5">
        <f t="shared" ref="D25" si="7">C25*E25</f>
        <v>6.25E-2</v>
      </c>
      <c r="E25" s="6">
        <v>1</v>
      </c>
      <c r="F25" s="53">
        <v>50</v>
      </c>
      <c r="G25" s="52">
        <v>15</v>
      </c>
      <c r="H25" s="52">
        <f t="shared" ref="H25" si="8">F25*G25</f>
        <v>750</v>
      </c>
      <c r="I25" s="61"/>
      <c r="J25" s="45"/>
      <c r="K25" s="29"/>
    </row>
    <row r="26" spans="1:17" ht="15" x14ac:dyDescent="0.2">
      <c r="A26" s="41" t="s">
        <v>77</v>
      </c>
      <c r="B26" s="60" t="s">
        <v>60</v>
      </c>
      <c r="C26" s="52">
        <f t="shared" si="6"/>
        <v>3.7499999999999999E-2</v>
      </c>
      <c r="D26" s="5">
        <f t="shared" si="1"/>
        <v>3.7499999999999999E-2</v>
      </c>
      <c r="E26" s="6">
        <v>1</v>
      </c>
      <c r="F26" s="53">
        <v>30</v>
      </c>
      <c r="G26" s="52">
        <v>15</v>
      </c>
      <c r="H26" s="52">
        <f t="shared" si="5"/>
        <v>450</v>
      </c>
      <c r="I26" s="61"/>
      <c r="J26" s="45"/>
      <c r="K26" s="29"/>
    </row>
    <row r="27" spans="1:17" ht="15" x14ac:dyDescent="0.2">
      <c r="A27" s="41" t="s">
        <v>77</v>
      </c>
      <c r="B27" s="60" t="s">
        <v>61</v>
      </c>
      <c r="C27" s="52">
        <f t="shared" si="6"/>
        <v>3.7499999999999999E-2</v>
      </c>
      <c r="D27" s="5">
        <f t="shared" si="1"/>
        <v>3.7499999999999999E-2</v>
      </c>
      <c r="E27" s="6">
        <v>1</v>
      </c>
      <c r="F27" s="53">
        <v>30</v>
      </c>
      <c r="G27" s="52">
        <v>15</v>
      </c>
      <c r="H27" s="52">
        <f t="shared" si="5"/>
        <v>450</v>
      </c>
      <c r="I27" s="61"/>
      <c r="J27" s="45"/>
      <c r="K27" s="29"/>
    </row>
    <row r="28" spans="1:17" ht="15" x14ac:dyDescent="0.2">
      <c r="A28" s="14" t="s">
        <v>79</v>
      </c>
      <c r="B28" s="62"/>
      <c r="C28" s="15">
        <f>SUM(C20:C27)</f>
        <v>0.48124999999999996</v>
      </c>
      <c r="D28" s="15">
        <f>SUM(D20:D27)</f>
        <v>0.48124999999999996</v>
      </c>
      <c r="E28" s="6"/>
      <c r="F28" s="63">
        <f>SUM(F20:F27)</f>
        <v>385</v>
      </c>
      <c r="G28" s="64"/>
      <c r="H28" s="64">
        <f>SUM(H20:H27)</f>
        <v>5775</v>
      </c>
      <c r="I28" s="65"/>
      <c r="J28" s="19">
        <f>J19+C28</f>
        <v>2.2662500000000003</v>
      </c>
      <c r="K28" s="33">
        <f>K19+D28</f>
        <v>2.2662500000000003</v>
      </c>
      <c r="L28" s="23"/>
    </row>
    <row r="29" spans="1:17" ht="14.25" x14ac:dyDescent="0.2">
      <c r="A29" s="39"/>
      <c r="B29" s="39"/>
      <c r="C29" s="66"/>
      <c r="D29" s="66"/>
      <c r="E29" s="66"/>
      <c r="F29" s="39"/>
      <c r="G29" s="39"/>
      <c r="H29" s="67"/>
      <c r="I29" s="39"/>
      <c r="J29" s="39"/>
      <c r="K29" s="68"/>
    </row>
    <row r="30" spans="1:17" s="1" customFormat="1" ht="14.25" x14ac:dyDescent="0.2">
      <c r="A30" s="39"/>
      <c r="B30" s="39"/>
      <c r="C30" s="66"/>
      <c r="D30" s="69"/>
      <c r="E30" s="66"/>
      <c r="F30" s="39"/>
      <c r="G30" s="39"/>
      <c r="H30" s="39"/>
      <c r="I30" s="39"/>
      <c r="J30" s="39"/>
      <c r="K30" s="68"/>
      <c r="L30" s="87"/>
      <c r="M30"/>
      <c r="N30"/>
      <c r="O30"/>
      <c r="P30"/>
      <c r="Q30"/>
    </row>
    <row r="31" spans="1:17" ht="14.25" x14ac:dyDescent="0.2">
      <c r="A31" s="39"/>
      <c r="B31" s="39"/>
      <c r="C31" s="39"/>
      <c r="D31" s="39"/>
      <c r="E31" s="70"/>
      <c r="F31" s="39"/>
      <c r="G31" s="39"/>
      <c r="H31" s="39"/>
      <c r="I31" s="39"/>
      <c r="J31" s="39"/>
      <c r="K31" s="68"/>
    </row>
    <row r="32" spans="1:17" ht="15" x14ac:dyDescent="0.25">
      <c r="A32" s="39"/>
      <c r="B32" s="39"/>
      <c r="C32" s="39"/>
      <c r="D32" s="39"/>
      <c r="E32" s="114" t="s">
        <v>50</v>
      </c>
      <c r="F32" s="114"/>
      <c r="G32" s="114"/>
      <c r="H32" s="39"/>
      <c r="I32" s="39"/>
      <c r="J32" s="39"/>
      <c r="K32" s="68"/>
    </row>
    <row r="33" spans="1:12" ht="14.25" x14ac:dyDescent="0.2">
      <c r="A33" s="39"/>
      <c r="B33" s="39"/>
      <c r="C33" s="39">
        <v>2012</v>
      </c>
      <c r="D33" s="39" t="s">
        <v>48</v>
      </c>
      <c r="E33" s="39">
        <v>3</v>
      </c>
      <c r="F33" s="39">
        <v>1</v>
      </c>
      <c r="G33" s="39">
        <v>3.2</v>
      </c>
      <c r="H33" s="39"/>
      <c r="I33" s="39">
        <v>0.86</v>
      </c>
      <c r="J33" s="39"/>
      <c r="K33" s="68"/>
    </row>
    <row r="34" spans="1:12" ht="15" x14ac:dyDescent="0.25">
      <c r="A34" s="39"/>
      <c r="B34" s="39"/>
      <c r="C34" s="39"/>
      <c r="D34" s="39"/>
      <c r="E34" s="114" t="s">
        <v>55</v>
      </c>
      <c r="F34" s="114"/>
      <c r="G34" s="114"/>
      <c r="H34" s="39"/>
      <c r="I34" s="39"/>
      <c r="J34" s="39"/>
      <c r="K34" s="68"/>
    </row>
    <row r="35" spans="1:12" ht="14.25" x14ac:dyDescent="0.2">
      <c r="A35" s="39"/>
      <c r="B35" s="39"/>
      <c r="C35" s="71" t="s">
        <v>47</v>
      </c>
      <c r="D35" s="39">
        <v>218</v>
      </c>
      <c r="E35" s="72">
        <v>4.05</v>
      </c>
      <c r="F35" s="39">
        <v>2.5</v>
      </c>
      <c r="G35" s="73">
        <v>3</v>
      </c>
      <c r="H35" s="39"/>
      <c r="I35" s="39"/>
      <c r="J35" s="39"/>
      <c r="K35" s="68"/>
      <c r="L35" s="25"/>
    </row>
    <row r="36" spans="1:12" ht="14.25" x14ac:dyDescent="0.2">
      <c r="A36" s="39"/>
      <c r="B36" s="39"/>
      <c r="C36" s="39"/>
      <c r="D36" s="39"/>
      <c r="E36" s="66"/>
      <c r="F36" s="39"/>
      <c r="G36" s="39"/>
      <c r="H36" s="39"/>
      <c r="I36" s="39"/>
      <c r="J36" s="39"/>
      <c r="K36" s="68"/>
    </row>
    <row r="37" spans="1:12" ht="15" x14ac:dyDescent="0.25">
      <c r="A37" s="39"/>
      <c r="B37" s="74" t="s">
        <v>54</v>
      </c>
      <c r="C37" s="75" t="s">
        <v>53</v>
      </c>
      <c r="D37" s="39"/>
      <c r="E37" s="66"/>
      <c r="F37" s="39"/>
      <c r="G37" s="39"/>
      <c r="H37" s="39"/>
      <c r="I37" s="39"/>
      <c r="J37" s="39"/>
      <c r="K37" s="68"/>
    </row>
    <row r="38" spans="1:12" ht="14.25" x14ac:dyDescent="0.2">
      <c r="A38" s="39"/>
      <c r="B38" s="39"/>
      <c r="C38" s="76" t="s">
        <v>52</v>
      </c>
      <c r="D38" s="76" t="s">
        <v>50</v>
      </c>
      <c r="E38" s="76" t="s">
        <v>51</v>
      </c>
      <c r="F38" s="76" t="s">
        <v>50</v>
      </c>
      <c r="G38" s="39"/>
      <c r="H38" s="39"/>
      <c r="I38" s="39"/>
      <c r="J38" s="39"/>
      <c r="K38" s="68"/>
    </row>
    <row r="39" spans="1:12" ht="15" x14ac:dyDescent="0.25">
      <c r="A39" s="39" t="s">
        <v>46</v>
      </c>
      <c r="B39" s="77">
        <f>2000*6.8%</f>
        <v>136</v>
      </c>
      <c r="C39" s="78">
        <f>B39*3*0.86</f>
        <v>350.88</v>
      </c>
      <c r="D39" s="79">
        <v>3</v>
      </c>
      <c r="E39" s="80">
        <f>B39*0.86*4.05</f>
        <v>473.68799999999993</v>
      </c>
      <c r="F39" s="81">
        <v>4.05</v>
      </c>
      <c r="G39" s="39"/>
      <c r="H39" s="39"/>
      <c r="I39" s="39"/>
      <c r="J39" s="39"/>
      <c r="K39" s="68"/>
    </row>
    <row r="40" spans="1:12" ht="15" x14ac:dyDescent="0.25">
      <c r="A40" s="39" t="s">
        <v>44</v>
      </c>
      <c r="B40" s="77">
        <f>2000-B39-B41</f>
        <v>1492</v>
      </c>
      <c r="C40" s="78">
        <f>0.86*B40</f>
        <v>1283.1199999999999</v>
      </c>
      <c r="D40" s="82">
        <v>1</v>
      </c>
      <c r="E40" s="80">
        <f>C40*2.5</f>
        <v>3207.7999999999997</v>
      </c>
      <c r="F40" s="81">
        <v>2.5</v>
      </c>
      <c r="G40" s="39"/>
      <c r="H40" s="39"/>
      <c r="I40" s="39"/>
      <c r="J40" s="39"/>
      <c r="K40" s="68"/>
    </row>
    <row r="41" spans="1:12" ht="15" x14ac:dyDescent="0.25">
      <c r="A41" s="39" t="s">
        <v>45</v>
      </c>
      <c r="B41" s="77">
        <f>2000*18.6%</f>
        <v>372.00000000000006</v>
      </c>
      <c r="C41" s="78">
        <f>0.86*3.2*B41</f>
        <v>1023.7440000000003</v>
      </c>
      <c r="D41" s="82">
        <v>3.2</v>
      </c>
      <c r="E41" s="80">
        <f>B41*0.86*3</f>
        <v>959.76</v>
      </c>
      <c r="F41" s="81">
        <v>3</v>
      </c>
      <c r="G41" s="39"/>
      <c r="H41" s="39"/>
      <c r="I41" s="39"/>
      <c r="J41" s="39"/>
      <c r="K41" s="68"/>
    </row>
    <row r="42" spans="1:12" ht="15" x14ac:dyDescent="0.25">
      <c r="A42" s="39"/>
      <c r="B42" s="83">
        <f>SUM(B39:B41)</f>
        <v>2000</v>
      </c>
      <c r="C42" s="78">
        <f>SUM(C39:C41)</f>
        <v>2657.7440000000001</v>
      </c>
      <c r="D42" s="84">
        <f>C42/2000</f>
        <v>1.3288720000000001</v>
      </c>
      <c r="E42" s="84">
        <f>SUM(E39:E41)</f>
        <v>4641.2479999999996</v>
      </c>
      <c r="F42" s="85">
        <f>E42/2000</f>
        <v>2.3206239999999996</v>
      </c>
      <c r="G42" s="39"/>
      <c r="H42" s="39"/>
      <c r="I42" s="39"/>
      <c r="J42" s="39"/>
      <c r="K42" s="68"/>
    </row>
    <row r="43" spans="1:12" ht="14.25" x14ac:dyDescent="0.2">
      <c r="A43" s="39"/>
      <c r="B43" s="39"/>
      <c r="C43" s="66"/>
      <c r="D43" s="66"/>
      <c r="E43" s="66"/>
      <c r="F43" s="39"/>
      <c r="G43" s="39"/>
      <c r="H43" s="39"/>
      <c r="I43" s="39"/>
      <c r="J43" s="39"/>
      <c r="K43" s="68"/>
    </row>
    <row r="44" spans="1:12" ht="14.25" x14ac:dyDescent="0.2">
      <c r="A44" s="39"/>
      <c r="B44" s="39"/>
      <c r="C44" s="66"/>
      <c r="D44" s="66"/>
      <c r="E44" s="66"/>
      <c r="F44" s="39"/>
      <c r="G44" s="39"/>
      <c r="H44" s="39"/>
      <c r="I44" s="39"/>
      <c r="J44" s="39"/>
      <c r="K44" s="68"/>
    </row>
    <row r="46" spans="1:12" x14ac:dyDescent="0.2">
      <c r="B46" s="25"/>
      <c r="C46" s="26"/>
      <c r="D46" s="26"/>
    </row>
    <row r="47" spans="1:12" x14ac:dyDescent="0.2">
      <c r="C47" s="26"/>
      <c r="D47" s="26"/>
    </row>
  </sheetData>
  <mergeCells count="2">
    <mergeCell ref="E32:G32"/>
    <mergeCell ref="E34:G34"/>
  </mergeCells>
  <pageMargins left="0.7" right="0.7" top="0.75" bottom="0.75" header="0.3" footer="0.3"/>
  <pageSetup paperSize="9" scale="46" orientation="landscape" r:id="rId1"/>
  <colBreaks count="1" manualBreakCount="1">
    <brk id="11" max="36" man="1"/>
  </colBreaks>
  <ignoredErrors>
    <ignoredError sqref="C14:D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Q47"/>
  <sheetViews>
    <sheetView topLeftCell="A10" zoomScale="85" zoomScaleNormal="85" workbookViewId="0">
      <selection activeCell="X22" sqref="X22"/>
    </sheetView>
  </sheetViews>
  <sheetFormatPr defaultRowHeight="12.75" x14ac:dyDescent="0.2"/>
  <cols>
    <col min="1" max="1" width="24.28515625" customWidth="1"/>
    <col min="2" max="2" width="48.140625" customWidth="1"/>
    <col min="3" max="3" width="22.7109375" style="1" customWidth="1"/>
    <col min="4" max="4" width="19.5703125" style="1" customWidth="1"/>
    <col min="5" max="5" width="17.5703125" style="1" customWidth="1"/>
    <col min="6" max="6" width="13.85546875" customWidth="1"/>
    <col min="7" max="7" width="16.5703125" customWidth="1"/>
    <col min="8" max="8" width="16.140625" customWidth="1"/>
    <col min="9" max="10" width="11" hidden="1" customWidth="1"/>
    <col min="11" max="11" width="21.7109375" style="34" customWidth="1"/>
    <col min="12" max="12" width="13.28515625" customWidth="1"/>
    <col min="13" max="14" width="0" hidden="1" customWidth="1"/>
    <col min="15" max="15" width="20.140625" hidden="1" customWidth="1"/>
    <col min="16" max="16" width="0" hidden="1" customWidth="1"/>
    <col min="17" max="17" width="14.5703125" hidden="1" customWidth="1"/>
    <col min="18" max="18" width="0" hidden="1" customWidth="1"/>
  </cols>
  <sheetData>
    <row r="2" spans="1:17" ht="82.5" customHeight="1" x14ac:dyDescent="0.2">
      <c r="A2" s="36" t="s">
        <v>17</v>
      </c>
      <c r="B2" s="37" t="s">
        <v>18</v>
      </c>
      <c r="C2" s="38" t="s">
        <v>28</v>
      </c>
      <c r="D2" s="38" t="s">
        <v>34</v>
      </c>
      <c r="E2" s="38" t="s">
        <v>35</v>
      </c>
      <c r="F2" s="38" t="s">
        <v>21</v>
      </c>
      <c r="G2" s="38" t="s">
        <v>22</v>
      </c>
      <c r="H2" s="38" t="s">
        <v>0</v>
      </c>
      <c r="I2" s="39"/>
      <c r="J2" s="40" t="s">
        <v>37</v>
      </c>
      <c r="K2" s="40" t="s">
        <v>38</v>
      </c>
      <c r="L2" s="35"/>
      <c r="M2" s="20"/>
      <c r="N2" s="20"/>
      <c r="O2" s="21" t="s">
        <v>23</v>
      </c>
      <c r="P2" s="20">
        <v>2600</v>
      </c>
      <c r="Q2" s="22" t="s">
        <v>25</v>
      </c>
    </row>
    <row r="3" spans="1:17" ht="15" x14ac:dyDescent="0.2">
      <c r="A3" s="41" t="s">
        <v>77</v>
      </c>
      <c r="B3" s="42" t="s">
        <v>6</v>
      </c>
      <c r="C3" s="43"/>
      <c r="D3" s="43"/>
      <c r="E3" s="43"/>
      <c r="F3" s="43"/>
      <c r="G3" s="43"/>
      <c r="H3" s="43"/>
      <c r="I3" s="44"/>
      <c r="J3" s="45"/>
      <c r="K3" s="40"/>
      <c r="L3" s="20"/>
      <c r="M3" s="20"/>
      <c r="N3" s="20"/>
      <c r="O3" s="22" t="s">
        <v>21</v>
      </c>
      <c r="P3" s="22">
        <v>1000</v>
      </c>
      <c r="Q3" s="22" t="s">
        <v>24</v>
      </c>
    </row>
    <row r="4" spans="1:17" ht="30" x14ac:dyDescent="0.2">
      <c r="A4" s="41" t="s">
        <v>77</v>
      </c>
      <c r="B4" s="42" t="s">
        <v>7</v>
      </c>
      <c r="C4" s="43"/>
      <c r="D4" s="43"/>
      <c r="E4" s="43"/>
      <c r="F4" s="43"/>
      <c r="G4" s="43"/>
      <c r="H4" s="43"/>
      <c r="I4" s="44"/>
      <c r="J4" s="45"/>
      <c r="K4" s="40"/>
      <c r="L4" s="20"/>
      <c r="M4" s="20"/>
      <c r="N4" s="20"/>
      <c r="O4" s="22" t="s">
        <v>26</v>
      </c>
      <c r="P4" s="20">
        <v>12</v>
      </c>
      <c r="Q4" s="20"/>
    </row>
    <row r="5" spans="1:17" ht="15" x14ac:dyDescent="0.2">
      <c r="A5" s="41" t="s">
        <v>77</v>
      </c>
      <c r="B5" s="42" t="s">
        <v>20</v>
      </c>
      <c r="C5" s="95">
        <v>0.86</v>
      </c>
      <c r="D5" s="95">
        <v>0.86</v>
      </c>
      <c r="E5" s="91">
        <v>1</v>
      </c>
      <c r="F5" s="92"/>
      <c r="G5" s="90"/>
      <c r="H5" s="90"/>
      <c r="I5" s="93"/>
      <c r="J5" s="94" t="e">
        <f>#REF!+#REF!</f>
        <v>#REF!</v>
      </c>
      <c r="K5" s="95">
        <v>0.86</v>
      </c>
    </row>
    <row r="6" spans="1:17" ht="15" x14ac:dyDescent="0.25">
      <c r="A6" s="41" t="s">
        <v>77</v>
      </c>
      <c r="B6" s="56" t="s">
        <v>1</v>
      </c>
      <c r="C6" s="52">
        <f>H6/$P$3/$P$4</f>
        <v>1.1666666666666667E-2</v>
      </c>
      <c r="D6" s="5">
        <f>C6*E6</f>
        <v>1.1666666666666667E-2</v>
      </c>
      <c r="E6" s="6">
        <v>1</v>
      </c>
      <c r="F6" s="53">
        <v>20</v>
      </c>
      <c r="G6" s="52">
        <v>7</v>
      </c>
      <c r="H6" s="52">
        <f>F6*G6</f>
        <v>140</v>
      </c>
      <c r="I6" s="54"/>
      <c r="J6" s="45"/>
      <c r="K6" s="28"/>
      <c r="L6" s="2"/>
    </row>
    <row r="7" spans="1:17" ht="15" x14ac:dyDescent="0.25">
      <c r="A7" s="41" t="s">
        <v>77</v>
      </c>
      <c r="B7" s="56" t="s">
        <v>2</v>
      </c>
      <c r="C7" s="52">
        <f>H7/$P$3/$P$4</f>
        <v>0.16666666666666666</v>
      </c>
      <c r="D7" s="5">
        <f>C7*E7</f>
        <v>0.16666666666666666</v>
      </c>
      <c r="E7" s="6">
        <v>1</v>
      </c>
      <c r="F7" s="53">
        <v>100</v>
      </c>
      <c r="G7" s="52">
        <v>20</v>
      </c>
      <c r="H7" s="52">
        <f>F7*G7</f>
        <v>2000</v>
      </c>
      <c r="I7" s="54"/>
      <c r="J7" s="45"/>
      <c r="K7" s="29"/>
      <c r="L7" s="2"/>
    </row>
    <row r="8" spans="1:17" ht="15" x14ac:dyDescent="0.25">
      <c r="A8" s="41" t="s">
        <v>77</v>
      </c>
      <c r="B8" s="56" t="s">
        <v>4</v>
      </c>
      <c r="C8" s="52">
        <f>H8/$P$3/$P$4</f>
        <v>7.4999999999999997E-2</v>
      </c>
      <c r="D8" s="5">
        <f>C8*E8</f>
        <v>7.4999999999999997E-2</v>
      </c>
      <c r="E8" s="6">
        <v>1</v>
      </c>
      <c r="F8" s="53">
        <v>100</v>
      </c>
      <c r="G8" s="52">
        <v>9</v>
      </c>
      <c r="H8" s="52">
        <f>F8*G8</f>
        <v>900</v>
      </c>
      <c r="I8" s="54"/>
      <c r="J8" s="45"/>
      <c r="K8" s="29"/>
      <c r="L8" s="2"/>
    </row>
    <row r="9" spans="1:17" ht="15" x14ac:dyDescent="0.25">
      <c r="A9" s="41" t="s">
        <v>77</v>
      </c>
      <c r="B9" s="56" t="s">
        <v>36</v>
      </c>
      <c r="C9" s="52">
        <f t="shared" ref="C9" si="0">H9/$P$3/$P$4</f>
        <v>0</v>
      </c>
      <c r="D9" s="5">
        <f t="shared" ref="D9:D27" si="1">C9*E9</f>
        <v>0</v>
      </c>
      <c r="E9" s="6">
        <v>1</v>
      </c>
      <c r="F9" s="53">
        <v>0</v>
      </c>
      <c r="G9" s="52">
        <v>10</v>
      </c>
      <c r="H9" s="52">
        <f>F9*G9</f>
        <v>0</v>
      </c>
      <c r="I9" s="54"/>
      <c r="J9" s="45"/>
      <c r="K9" s="29"/>
      <c r="L9" s="101"/>
    </row>
    <row r="10" spans="1:17" ht="15" x14ac:dyDescent="0.25">
      <c r="A10" s="110" t="s">
        <v>77</v>
      </c>
      <c r="B10" s="96" t="s">
        <v>8</v>
      </c>
      <c r="C10" s="52">
        <f>H10/$P$3/$P$4</f>
        <v>5.8333333333333327E-2</v>
      </c>
      <c r="D10" s="5">
        <f>C10*E10</f>
        <v>5.8333333333333327E-2</v>
      </c>
      <c r="E10" s="6">
        <v>1</v>
      </c>
      <c r="F10" s="53">
        <v>100</v>
      </c>
      <c r="G10" s="111">
        <v>7</v>
      </c>
      <c r="H10" s="52">
        <f>F10*G10</f>
        <v>700</v>
      </c>
      <c r="I10" s="54"/>
      <c r="J10" s="45"/>
      <c r="K10" s="28"/>
      <c r="L10" s="2"/>
    </row>
    <row r="11" spans="1:17" ht="15" x14ac:dyDescent="0.25">
      <c r="A11" s="110" t="s">
        <v>77</v>
      </c>
      <c r="B11" s="88" t="s">
        <v>64</v>
      </c>
      <c r="C11" s="52">
        <f t="shared" ref="C11:C13" si="2">H11/$P$3/$P$4</f>
        <v>8.7500000000000008E-2</v>
      </c>
      <c r="D11" s="5">
        <f t="shared" ref="D11:D13" si="3">C11*E11</f>
        <v>8.7500000000000008E-2</v>
      </c>
      <c r="E11" s="6">
        <v>1</v>
      </c>
      <c r="F11" s="53">
        <v>150</v>
      </c>
      <c r="G11" s="111">
        <v>7</v>
      </c>
      <c r="H11" s="52">
        <f t="shared" ref="H11:H12" si="4">F11*G11</f>
        <v>1050</v>
      </c>
      <c r="I11" s="54"/>
      <c r="J11" s="45"/>
      <c r="K11" s="29"/>
      <c r="L11" s="2"/>
    </row>
    <row r="12" spans="1:17" ht="15" x14ac:dyDescent="0.25">
      <c r="A12" s="110" t="s">
        <v>77</v>
      </c>
      <c r="B12" s="88" t="s">
        <v>65</v>
      </c>
      <c r="C12" s="52">
        <f t="shared" si="2"/>
        <v>5.8333333333333327E-2</v>
      </c>
      <c r="D12" s="5">
        <f t="shared" si="3"/>
        <v>5.8333333333333327E-2</v>
      </c>
      <c r="E12" s="6">
        <v>1</v>
      </c>
      <c r="F12" s="53">
        <v>100</v>
      </c>
      <c r="G12" s="111">
        <v>7</v>
      </c>
      <c r="H12" s="52">
        <f t="shared" si="4"/>
        <v>700</v>
      </c>
      <c r="I12" s="54"/>
      <c r="J12" s="45"/>
      <c r="K12" s="29"/>
      <c r="L12" s="2"/>
    </row>
    <row r="13" spans="1:17" ht="15" x14ac:dyDescent="0.25">
      <c r="A13" s="110" t="s">
        <v>77</v>
      </c>
      <c r="B13" s="88" t="s">
        <v>66</v>
      </c>
      <c r="C13" s="52">
        <f t="shared" si="2"/>
        <v>5.8333333333333327E-2</v>
      </c>
      <c r="D13" s="5">
        <f t="shared" si="3"/>
        <v>5.8333333333333327E-2</v>
      </c>
      <c r="E13" s="6">
        <v>1</v>
      </c>
      <c r="F13" s="53">
        <v>100</v>
      </c>
      <c r="G13" s="111">
        <v>7</v>
      </c>
      <c r="H13" s="52">
        <f>F13*G13</f>
        <v>700</v>
      </c>
      <c r="I13" s="54"/>
      <c r="J13" s="45"/>
      <c r="K13" s="29"/>
      <c r="L13" s="2"/>
    </row>
    <row r="14" spans="1:17" ht="15" x14ac:dyDescent="0.2">
      <c r="A14" s="7" t="s">
        <v>78</v>
      </c>
      <c r="B14" s="11"/>
      <c r="C14" s="8">
        <f>SUM(C6:C13)</f>
        <v>0.51583333333333337</v>
      </c>
      <c r="D14" s="8">
        <f>SUM(D6:D13)</f>
        <v>0.51583333333333337</v>
      </c>
      <c r="E14" s="9"/>
      <c r="F14" s="12"/>
      <c r="G14" s="13"/>
      <c r="H14" s="13"/>
      <c r="I14" s="54"/>
      <c r="J14" s="17">
        <f>C5+C14</f>
        <v>1.3758333333333335</v>
      </c>
      <c r="K14" s="89">
        <f>D5+D14</f>
        <v>1.3758333333333335</v>
      </c>
    </row>
    <row r="15" spans="1:17" ht="15" x14ac:dyDescent="0.25">
      <c r="A15" s="41" t="s">
        <v>77</v>
      </c>
      <c r="B15" s="56" t="s">
        <v>39</v>
      </c>
      <c r="C15" s="52">
        <f>H15/$P$3/$P$4</f>
        <v>1.4999999999999999E-2</v>
      </c>
      <c r="D15" s="5">
        <f t="shared" si="1"/>
        <v>1.4999999999999999E-2</v>
      </c>
      <c r="E15" s="6">
        <v>1</v>
      </c>
      <c r="F15" s="53">
        <v>10</v>
      </c>
      <c r="G15" s="52">
        <v>18</v>
      </c>
      <c r="H15" s="52">
        <f t="shared" ref="H15:H27" si="5">F15*G15</f>
        <v>180</v>
      </c>
      <c r="I15" s="58"/>
      <c r="J15" s="45"/>
      <c r="K15" s="29"/>
      <c r="L15" s="2"/>
    </row>
    <row r="16" spans="1:17" ht="30" x14ac:dyDescent="0.25">
      <c r="A16" s="41" t="s">
        <v>77</v>
      </c>
      <c r="B16" s="56" t="s">
        <v>30</v>
      </c>
      <c r="C16" s="52">
        <f>H16/$P$3/$P$4</f>
        <v>1.4166666666666668E-2</v>
      </c>
      <c r="D16" s="5">
        <f t="shared" si="1"/>
        <v>1.4166666666666668E-2</v>
      </c>
      <c r="E16" s="6">
        <v>1</v>
      </c>
      <c r="F16" s="53">
        <v>10</v>
      </c>
      <c r="G16" s="52">
        <v>17</v>
      </c>
      <c r="H16" s="52">
        <f t="shared" si="5"/>
        <v>170</v>
      </c>
      <c r="I16" s="58"/>
      <c r="J16" s="45"/>
      <c r="K16" s="29"/>
      <c r="L16" s="2"/>
    </row>
    <row r="17" spans="1:17" ht="15" x14ac:dyDescent="0.25">
      <c r="A17" s="41" t="s">
        <v>77</v>
      </c>
      <c r="B17" s="56" t="s">
        <v>40</v>
      </c>
      <c r="C17" s="52">
        <f>H17/$P$3/$P$4</f>
        <v>0.1875</v>
      </c>
      <c r="D17" s="5">
        <f t="shared" si="1"/>
        <v>0.1875</v>
      </c>
      <c r="E17" s="6">
        <v>1</v>
      </c>
      <c r="F17" s="53">
        <v>150</v>
      </c>
      <c r="G17" s="52">
        <v>15</v>
      </c>
      <c r="H17" s="52">
        <f t="shared" si="5"/>
        <v>2250</v>
      </c>
      <c r="I17" s="58"/>
      <c r="J17" s="45"/>
      <c r="K17" s="29"/>
      <c r="L17" s="2"/>
    </row>
    <row r="18" spans="1:17" ht="45" x14ac:dyDescent="0.25">
      <c r="A18" s="41" t="s">
        <v>77</v>
      </c>
      <c r="B18" s="56" t="s">
        <v>62</v>
      </c>
      <c r="C18" s="52">
        <f>H18/$P$3/$P$4</f>
        <v>0.1875</v>
      </c>
      <c r="D18" s="5">
        <f t="shared" si="1"/>
        <v>0.1875</v>
      </c>
      <c r="E18" s="6">
        <v>1</v>
      </c>
      <c r="F18" s="53">
        <v>150</v>
      </c>
      <c r="G18" s="52">
        <v>15</v>
      </c>
      <c r="H18" s="52">
        <f t="shared" si="5"/>
        <v>2250</v>
      </c>
      <c r="I18" s="58"/>
      <c r="J18" s="45"/>
      <c r="K18" s="29"/>
      <c r="L18" s="2"/>
    </row>
    <row r="19" spans="1:17" ht="15" x14ac:dyDescent="0.2">
      <c r="A19" s="7" t="s">
        <v>78</v>
      </c>
      <c r="B19" s="11"/>
      <c r="C19" s="8">
        <f>SUM(C15:C18)</f>
        <v>0.40416666666666667</v>
      </c>
      <c r="D19" s="8">
        <f>SUM(D15:D18)</f>
        <v>0.40416666666666667</v>
      </c>
      <c r="E19" s="9"/>
      <c r="F19" s="12"/>
      <c r="G19" s="13"/>
      <c r="H19" s="13"/>
      <c r="I19" s="58"/>
      <c r="J19" s="18">
        <f>J14+C19</f>
        <v>1.7800000000000002</v>
      </c>
      <c r="K19" s="89">
        <f>K14+D19</f>
        <v>1.7800000000000002</v>
      </c>
    </row>
    <row r="20" spans="1:17" ht="15" x14ac:dyDescent="0.2">
      <c r="A20" s="41" t="s">
        <v>77</v>
      </c>
      <c r="B20" s="56" t="s">
        <v>13</v>
      </c>
      <c r="C20" s="52">
        <f t="shared" ref="C20:C27" si="6">H20/$P$3/$P$4</f>
        <v>4.1666666666666664E-2</v>
      </c>
      <c r="D20" s="5">
        <f>C20*E20</f>
        <v>4.1666666666666664E-2</v>
      </c>
      <c r="E20" s="6">
        <v>1</v>
      </c>
      <c r="F20" s="53">
        <v>50</v>
      </c>
      <c r="G20" s="111">
        <v>10</v>
      </c>
      <c r="H20" s="52">
        <f>F20*G20</f>
        <v>500</v>
      </c>
      <c r="I20" s="54"/>
      <c r="J20" s="45"/>
      <c r="K20" s="29"/>
    </row>
    <row r="21" spans="1:17" ht="30" x14ac:dyDescent="0.2">
      <c r="A21" s="41" t="s">
        <v>77</v>
      </c>
      <c r="B21" s="56" t="s">
        <v>14</v>
      </c>
      <c r="C21" s="52">
        <f t="shared" si="6"/>
        <v>8.3333333333333329E-2</v>
      </c>
      <c r="D21" s="5">
        <f>C21*E21</f>
        <v>8.3333333333333329E-2</v>
      </c>
      <c r="E21" s="6">
        <v>1</v>
      </c>
      <c r="F21" s="53">
        <v>100</v>
      </c>
      <c r="G21" s="111">
        <v>10</v>
      </c>
      <c r="H21" s="52">
        <f>F21*G21</f>
        <v>1000</v>
      </c>
      <c r="I21" s="54"/>
      <c r="J21" s="45"/>
      <c r="K21" s="32"/>
    </row>
    <row r="22" spans="1:17" ht="15" x14ac:dyDescent="0.2">
      <c r="A22" s="41" t="s">
        <v>77</v>
      </c>
      <c r="B22" s="60" t="s">
        <v>57</v>
      </c>
      <c r="C22" s="52">
        <f t="shared" si="6"/>
        <v>4.1666666666666664E-2</v>
      </c>
      <c r="D22" s="5">
        <f t="shared" si="1"/>
        <v>4.1666666666666664E-2</v>
      </c>
      <c r="E22" s="6">
        <v>1</v>
      </c>
      <c r="F22" s="53">
        <v>50</v>
      </c>
      <c r="G22" s="111">
        <v>10</v>
      </c>
      <c r="H22" s="52">
        <f t="shared" si="5"/>
        <v>500</v>
      </c>
      <c r="I22" s="61"/>
      <c r="J22" s="45"/>
      <c r="K22" s="29"/>
    </row>
    <row r="23" spans="1:17" ht="15" x14ac:dyDescent="0.2">
      <c r="A23" s="41" t="s">
        <v>77</v>
      </c>
      <c r="B23" s="60" t="s">
        <v>58</v>
      </c>
      <c r="C23" s="52">
        <f t="shared" si="6"/>
        <v>3.7499999999999999E-2</v>
      </c>
      <c r="D23" s="5">
        <f t="shared" si="1"/>
        <v>3.7499999999999999E-2</v>
      </c>
      <c r="E23" s="6">
        <v>1</v>
      </c>
      <c r="F23" s="53">
        <v>45</v>
      </c>
      <c r="G23" s="111">
        <v>10</v>
      </c>
      <c r="H23" s="52">
        <f t="shared" si="5"/>
        <v>450</v>
      </c>
      <c r="I23" s="61"/>
      <c r="J23" s="45"/>
      <c r="K23" s="29"/>
    </row>
    <row r="24" spans="1:17" ht="15" x14ac:dyDescent="0.2">
      <c r="A24" s="41" t="s">
        <v>77</v>
      </c>
      <c r="B24" s="60" t="s">
        <v>59</v>
      </c>
      <c r="C24" s="52">
        <f t="shared" si="6"/>
        <v>2.4999999999999998E-2</v>
      </c>
      <c r="D24" s="5">
        <f t="shared" si="1"/>
        <v>2.4999999999999998E-2</v>
      </c>
      <c r="E24" s="6">
        <v>1</v>
      </c>
      <c r="F24" s="53">
        <v>30</v>
      </c>
      <c r="G24" s="111">
        <v>10</v>
      </c>
      <c r="H24" s="52">
        <f t="shared" si="5"/>
        <v>300</v>
      </c>
      <c r="I24" s="61"/>
      <c r="J24" s="45"/>
      <c r="K24" s="29"/>
    </row>
    <row r="25" spans="1:17" ht="15" x14ac:dyDescent="0.2">
      <c r="A25" s="41" t="s">
        <v>77</v>
      </c>
      <c r="B25" s="86" t="s">
        <v>63</v>
      </c>
      <c r="C25" s="52">
        <f>H25/$P$3/$P$4</f>
        <v>4.1666666666666664E-2</v>
      </c>
      <c r="D25" s="5">
        <f t="shared" si="1"/>
        <v>4.1666666666666664E-2</v>
      </c>
      <c r="E25" s="6">
        <v>1</v>
      </c>
      <c r="F25" s="53">
        <v>50</v>
      </c>
      <c r="G25" s="111">
        <v>10</v>
      </c>
      <c r="H25" s="52">
        <f t="shared" si="5"/>
        <v>500</v>
      </c>
      <c r="I25" s="61"/>
      <c r="J25" s="45"/>
      <c r="K25" s="29"/>
    </row>
    <row r="26" spans="1:17" ht="15" x14ac:dyDescent="0.2">
      <c r="A26" s="41" t="s">
        <v>77</v>
      </c>
      <c r="B26" s="60" t="s">
        <v>60</v>
      </c>
      <c r="C26" s="52">
        <f t="shared" si="6"/>
        <v>2.4999999999999998E-2</v>
      </c>
      <c r="D26" s="5">
        <f t="shared" si="1"/>
        <v>2.4999999999999998E-2</v>
      </c>
      <c r="E26" s="6">
        <v>1</v>
      </c>
      <c r="F26" s="53">
        <v>30</v>
      </c>
      <c r="G26" s="111">
        <v>10</v>
      </c>
      <c r="H26" s="52">
        <f t="shared" si="5"/>
        <v>300</v>
      </c>
      <c r="I26" s="61"/>
      <c r="J26" s="45"/>
      <c r="K26" s="29"/>
    </row>
    <row r="27" spans="1:17" ht="15" x14ac:dyDescent="0.2">
      <c r="A27" s="41" t="s">
        <v>77</v>
      </c>
      <c r="B27" s="60" t="s">
        <v>61</v>
      </c>
      <c r="C27" s="52">
        <f t="shared" si="6"/>
        <v>2.4999999999999998E-2</v>
      </c>
      <c r="D27" s="5">
        <f t="shared" si="1"/>
        <v>2.4999999999999998E-2</v>
      </c>
      <c r="E27" s="6">
        <v>1</v>
      </c>
      <c r="F27" s="53">
        <v>30</v>
      </c>
      <c r="G27" s="111">
        <v>10</v>
      </c>
      <c r="H27" s="52">
        <f t="shared" si="5"/>
        <v>300</v>
      </c>
      <c r="I27" s="61"/>
      <c r="J27" s="45"/>
      <c r="K27" s="29"/>
    </row>
    <row r="28" spans="1:17" ht="15" x14ac:dyDescent="0.2">
      <c r="A28" s="14" t="s">
        <v>79</v>
      </c>
      <c r="B28" s="62"/>
      <c r="C28" s="15">
        <f>SUM(C20:C27)</f>
        <v>0.32083333333333336</v>
      </c>
      <c r="D28" s="15">
        <f>SUM(D20:D27)</f>
        <v>0.32083333333333336</v>
      </c>
      <c r="E28" s="6"/>
      <c r="F28" s="63">
        <f>SUM(F20:F27)</f>
        <v>385</v>
      </c>
      <c r="G28" s="64"/>
      <c r="H28" s="64">
        <f>SUM(H20:H27)</f>
        <v>3850</v>
      </c>
      <c r="I28" s="65"/>
      <c r="J28" s="19">
        <f>J19+C28</f>
        <v>2.1008333333333336</v>
      </c>
      <c r="K28" s="33">
        <f>K19+D28</f>
        <v>2.1008333333333336</v>
      </c>
      <c r="L28" s="23"/>
    </row>
    <row r="29" spans="1:17" ht="14.25" x14ac:dyDescent="0.2">
      <c r="A29" s="39"/>
      <c r="B29" s="39"/>
      <c r="C29" s="66"/>
      <c r="D29" s="66"/>
      <c r="E29" s="66"/>
      <c r="F29" s="39"/>
      <c r="G29" s="39"/>
      <c r="H29" s="67"/>
      <c r="I29" s="39"/>
      <c r="J29" s="39"/>
      <c r="K29" s="68"/>
    </row>
    <row r="30" spans="1:17" s="1" customFormat="1" ht="14.25" x14ac:dyDescent="0.2">
      <c r="A30" s="39"/>
      <c r="B30" s="39"/>
      <c r="C30" s="66"/>
      <c r="D30" s="69"/>
      <c r="E30" s="66"/>
      <c r="F30" s="39"/>
      <c r="G30" s="39"/>
      <c r="H30" s="39"/>
      <c r="I30" s="39"/>
      <c r="J30" s="39"/>
      <c r="K30" s="68"/>
      <c r="L30" s="87"/>
      <c r="M30"/>
      <c r="N30"/>
      <c r="O30"/>
      <c r="P30"/>
      <c r="Q30"/>
    </row>
    <row r="31" spans="1:17" ht="14.25" x14ac:dyDescent="0.2">
      <c r="A31" s="39"/>
      <c r="B31" s="39"/>
      <c r="C31" s="39"/>
      <c r="D31" s="39"/>
      <c r="E31" s="70"/>
      <c r="F31" s="39"/>
      <c r="G31" s="39"/>
      <c r="H31" s="39"/>
      <c r="I31" s="39"/>
      <c r="J31" s="39"/>
      <c r="K31" s="68"/>
    </row>
    <row r="32" spans="1:17" ht="15" x14ac:dyDescent="0.25">
      <c r="A32" s="39"/>
      <c r="B32" s="39"/>
      <c r="C32" s="39"/>
      <c r="D32" s="39"/>
      <c r="E32" s="114" t="s">
        <v>50</v>
      </c>
      <c r="F32" s="114"/>
      <c r="G32" s="114"/>
      <c r="H32" s="39"/>
      <c r="I32" s="39"/>
      <c r="J32" s="39"/>
      <c r="K32" s="68"/>
    </row>
    <row r="33" spans="1:12" ht="14.25" x14ac:dyDescent="0.2">
      <c r="A33" s="39"/>
      <c r="B33" s="39"/>
      <c r="C33" s="39">
        <v>2012</v>
      </c>
      <c r="D33" s="39" t="s">
        <v>48</v>
      </c>
      <c r="E33" s="39">
        <v>3</v>
      </c>
      <c r="F33" s="39">
        <v>1</v>
      </c>
      <c r="G33" s="39">
        <v>3.2</v>
      </c>
      <c r="H33" s="39"/>
      <c r="I33" s="39">
        <v>0.86</v>
      </c>
      <c r="J33" s="39"/>
      <c r="K33" s="68"/>
    </row>
    <row r="34" spans="1:12" ht="15" x14ac:dyDescent="0.25">
      <c r="A34" s="39"/>
      <c r="B34" s="39"/>
      <c r="C34" s="39"/>
      <c r="D34" s="39"/>
      <c r="E34" s="114" t="s">
        <v>55</v>
      </c>
      <c r="F34" s="114"/>
      <c r="G34" s="114"/>
      <c r="H34" s="39"/>
      <c r="I34" s="39"/>
      <c r="J34" s="39"/>
      <c r="K34" s="68"/>
    </row>
    <row r="35" spans="1:12" ht="14.25" x14ac:dyDescent="0.2">
      <c r="A35" s="39"/>
      <c r="B35" s="39"/>
      <c r="C35" s="71" t="s">
        <v>47</v>
      </c>
      <c r="D35" s="39">
        <v>218</v>
      </c>
      <c r="E35" s="72">
        <v>4.05</v>
      </c>
      <c r="F35" s="39">
        <v>2.5</v>
      </c>
      <c r="G35" s="73">
        <v>3</v>
      </c>
      <c r="H35" s="39"/>
      <c r="I35" s="39"/>
      <c r="J35" s="39"/>
      <c r="K35" s="68"/>
      <c r="L35" s="25"/>
    </row>
    <row r="36" spans="1:12" ht="14.25" x14ac:dyDescent="0.2">
      <c r="A36" s="39"/>
      <c r="B36" s="39"/>
      <c r="C36" s="39"/>
      <c r="D36" s="39"/>
      <c r="E36" s="66"/>
      <c r="F36" s="39"/>
      <c r="G36" s="39"/>
      <c r="H36" s="39"/>
      <c r="I36" s="39"/>
      <c r="J36" s="39"/>
      <c r="K36" s="68"/>
    </row>
    <row r="37" spans="1:12" ht="15" x14ac:dyDescent="0.25">
      <c r="A37" s="39"/>
      <c r="B37" s="74" t="s">
        <v>54</v>
      </c>
      <c r="C37" s="75" t="s">
        <v>53</v>
      </c>
      <c r="D37" s="39"/>
      <c r="E37" s="66"/>
      <c r="F37" s="39"/>
      <c r="G37" s="39"/>
      <c r="H37" s="39"/>
      <c r="I37" s="39"/>
      <c r="J37" s="39"/>
      <c r="K37" s="68"/>
    </row>
    <row r="38" spans="1:12" ht="14.25" x14ac:dyDescent="0.2">
      <c r="A38" s="39"/>
      <c r="B38" s="39"/>
      <c r="C38" s="76" t="s">
        <v>52</v>
      </c>
      <c r="D38" s="76" t="s">
        <v>50</v>
      </c>
      <c r="E38" s="76" t="s">
        <v>51</v>
      </c>
      <c r="F38" s="76" t="s">
        <v>50</v>
      </c>
      <c r="G38" s="39"/>
      <c r="H38" s="39"/>
      <c r="I38" s="39"/>
      <c r="J38" s="39"/>
      <c r="K38" s="68"/>
    </row>
    <row r="39" spans="1:12" ht="15" x14ac:dyDescent="0.25">
      <c r="A39" s="39" t="s">
        <v>46</v>
      </c>
      <c r="B39" s="77">
        <f>2000*6.8%</f>
        <v>136</v>
      </c>
      <c r="C39" s="78">
        <f>B39*3*0.86</f>
        <v>350.88</v>
      </c>
      <c r="D39" s="79">
        <v>3</v>
      </c>
      <c r="E39" s="80">
        <f>B39*0.86*4.05</f>
        <v>473.68799999999993</v>
      </c>
      <c r="F39" s="81">
        <v>4.05</v>
      </c>
      <c r="G39" s="39"/>
      <c r="H39" s="39"/>
      <c r="I39" s="39"/>
      <c r="J39" s="39"/>
      <c r="K39" s="68"/>
    </row>
    <row r="40" spans="1:12" ht="15" x14ac:dyDescent="0.25">
      <c r="A40" s="39" t="s">
        <v>44</v>
      </c>
      <c r="B40" s="77">
        <f>2000-B39-B41</f>
        <v>1492</v>
      </c>
      <c r="C40" s="78">
        <f>0.86*B40</f>
        <v>1283.1199999999999</v>
      </c>
      <c r="D40" s="82">
        <v>1</v>
      </c>
      <c r="E40" s="80">
        <f>C40*2.5</f>
        <v>3207.7999999999997</v>
      </c>
      <c r="F40" s="81">
        <v>2.5</v>
      </c>
      <c r="G40" s="39"/>
      <c r="H40" s="39"/>
      <c r="I40" s="39"/>
      <c r="J40" s="39"/>
      <c r="K40" s="68"/>
    </row>
    <row r="41" spans="1:12" ht="15" x14ac:dyDescent="0.25">
      <c r="A41" s="39" t="s">
        <v>45</v>
      </c>
      <c r="B41" s="77">
        <f>2000*18.6%</f>
        <v>372.00000000000006</v>
      </c>
      <c r="C41" s="78">
        <f>0.86*3.2*B41</f>
        <v>1023.7440000000003</v>
      </c>
      <c r="D41" s="82">
        <v>3.2</v>
      </c>
      <c r="E41" s="80">
        <f>B41*0.86*3</f>
        <v>959.76</v>
      </c>
      <c r="F41" s="81">
        <v>3</v>
      </c>
      <c r="G41" s="39"/>
      <c r="H41" s="39"/>
      <c r="I41" s="39"/>
      <c r="J41" s="39"/>
      <c r="K41" s="68"/>
    </row>
    <row r="42" spans="1:12" ht="15" x14ac:dyDescent="0.25">
      <c r="A42" s="39"/>
      <c r="B42" s="83">
        <f>SUM(B39:B41)</f>
        <v>2000</v>
      </c>
      <c r="C42" s="78">
        <f>SUM(C39:C41)</f>
        <v>2657.7440000000001</v>
      </c>
      <c r="D42" s="84">
        <f>C42/2000</f>
        <v>1.3288720000000001</v>
      </c>
      <c r="E42" s="84">
        <f>SUM(E39:E41)</f>
        <v>4641.2479999999996</v>
      </c>
      <c r="F42" s="85">
        <f>E42/2000</f>
        <v>2.3206239999999996</v>
      </c>
      <c r="G42" s="39"/>
      <c r="H42" s="39"/>
      <c r="I42" s="39"/>
      <c r="J42" s="39"/>
      <c r="K42" s="68"/>
    </row>
    <row r="43" spans="1:12" ht="14.25" x14ac:dyDescent="0.2">
      <c r="A43" s="39"/>
      <c r="B43" s="39"/>
      <c r="C43" s="66"/>
      <c r="D43" s="66"/>
      <c r="E43" s="66"/>
      <c r="F43" s="39"/>
      <c r="G43" s="39"/>
      <c r="H43" s="39"/>
      <c r="I43" s="39"/>
      <c r="J43" s="39"/>
      <c r="K43" s="68"/>
    </row>
    <row r="44" spans="1:12" ht="14.25" x14ac:dyDescent="0.2">
      <c r="A44" s="39"/>
      <c r="B44" s="39"/>
      <c r="C44" s="66"/>
      <c r="D44" s="66"/>
      <c r="E44" s="66"/>
      <c r="F44" s="39"/>
      <c r="G44" s="39"/>
      <c r="H44" s="39"/>
      <c r="I44" s="39"/>
      <c r="J44" s="39"/>
      <c r="K44" s="68"/>
    </row>
    <row r="46" spans="1:12" x14ac:dyDescent="0.2">
      <c r="B46" s="25"/>
      <c r="C46" s="26"/>
      <c r="D46" s="26"/>
    </row>
    <row r="47" spans="1:12" x14ac:dyDescent="0.2">
      <c r="C47" s="26"/>
      <c r="D47" s="26"/>
    </row>
  </sheetData>
  <mergeCells count="2">
    <mergeCell ref="E32:G32"/>
    <mergeCell ref="E34:G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49"/>
  <sheetViews>
    <sheetView topLeftCell="A7" workbookViewId="0">
      <selection activeCell="F15" sqref="F15"/>
    </sheetView>
  </sheetViews>
  <sheetFormatPr defaultRowHeight="12.75" x14ac:dyDescent="0.2"/>
  <cols>
    <col min="1" max="1" width="22.5703125" style="23" customWidth="1"/>
    <col min="2" max="2" width="38.5703125" style="105" customWidth="1"/>
    <col min="3" max="3" width="9.140625" style="97"/>
    <col min="4" max="4" width="11.7109375" customWidth="1"/>
    <col min="7" max="7" width="19.42578125" customWidth="1"/>
    <col min="8" max="8" width="18.85546875" customWidth="1"/>
  </cols>
  <sheetData>
    <row r="1" spans="1:8" x14ac:dyDescent="0.2">
      <c r="A1" s="23">
        <v>1500000</v>
      </c>
      <c r="B1" s="104" t="s">
        <v>70</v>
      </c>
      <c r="C1" s="97">
        <f>A1/A3</f>
        <v>0.46875</v>
      </c>
      <c r="D1" s="97">
        <f>A1/A4</f>
        <v>0.40540540540540543</v>
      </c>
    </row>
    <row r="2" spans="1:8" x14ac:dyDescent="0.2">
      <c r="A2" s="23">
        <v>500000</v>
      </c>
      <c r="B2" s="104" t="s">
        <v>71</v>
      </c>
      <c r="C2" s="97">
        <f>A2/A3</f>
        <v>0.15625</v>
      </c>
      <c r="D2" s="97">
        <f>A2/A4</f>
        <v>0.13513513513513514</v>
      </c>
    </row>
    <row r="3" spans="1:8" x14ac:dyDescent="0.2">
      <c r="A3" s="23">
        <v>3200000</v>
      </c>
      <c r="B3" s="105" t="s">
        <v>67</v>
      </c>
      <c r="D3" s="97"/>
    </row>
    <row r="4" spans="1:8" x14ac:dyDescent="0.2">
      <c r="A4" s="23">
        <v>3700000</v>
      </c>
      <c r="B4" s="105" t="s">
        <v>68</v>
      </c>
    </row>
    <row r="11" spans="1:8" ht="114.75" customHeight="1" x14ac:dyDescent="0.2">
      <c r="B11" s="115" t="s">
        <v>76</v>
      </c>
      <c r="C11" s="115"/>
      <c r="D11" s="115"/>
      <c r="E11" s="115"/>
      <c r="F11" s="115"/>
      <c r="G11" s="102" t="s">
        <v>75</v>
      </c>
      <c r="H11" s="103" t="s">
        <v>73</v>
      </c>
    </row>
    <row r="12" spans="1:8" ht="28.5" customHeight="1" x14ac:dyDescent="0.2">
      <c r="B12" s="108">
        <v>10000</v>
      </c>
      <c r="C12" s="117" t="s">
        <v>72</v>
      </c>
      <c r="D12" s="117"/>
      <c r="G12">
        <f>B12*1.93</f>
        <v>19300</v>
      </c>
      <c r="H12" s="100">
        <f>B12*2.7</f>
        <v>27000</v>
      </c>
    </row>
    <row r="13" spans="1:8" x14ac:dyDescent="0.2">
      <c r="C13" s="98"/>
      <c r="G13" s="99">
        <f>B16/4*30+G12</f>
        <v>31300</v>
      </c>
      <c r="H13" s="100"/>
    </row>
    <row r="15" spans="1:8" x14ac:dyDescent="0.2">
      <c r="B15" s="105">
        <v>4700</v>
      </c>
      <c r="C15" s="97" t="s">
        <v>69</v>
      </c>
      <c r="F15">
        <f>(800+400)*4</f>
        <v>4800</v>
      </c>
    </row>
    <row r="16" spans="1:8" x14ac:dyDescent="0.2">
      <c r="B16" s="105">
        <f>(B12*16)/100</f>
        <v>1600</v>
      </c>
      <c r="C16" s="98" t="s">
        <v>74</v>
      </c>
      <c r="F16">
        <f>2500+(B16*15)</f>
        <v>26500</v>
      </c>
    </row>
    <row r="17" spans="1:11" x14ac:dyDescent="0.2">
      <c r="A17"/>
      <c r="C17"/>
      <c r="F17" s="99">
        <f>SUM(F15:F16)</f>
        <v>31300</v>
      </c>
    </row>
    <row r="20" spans="1:11" x14ac:dyDescent="0.2">
      <c r="A20"/>
      <c r="C20"/>
      <c r="K20" s="25"/>
    </row>
    <row r="23" spans="1:11" s="34" customFormat="1" ht="25.5" customHeight="1" x14ac:dyDescent="0.2">
      <c r="A23" s="106"/>
      <c r="B23" s="109">
        <v>20000</v>
      </c>
      <c r="C23" s="116" t="s">
        <v>72</v>
      </c>
      <c r="D23" s="116"/>
      <c r="G23" s="34">
        <f>B23*1.93</f>
        <v>38600</v>
      </c>
      <c r="H23" s="107">
        <f>B23*2.7</f>
        <v>54000</v>
      </c>
    </row>
    <row r="24" spans="1:11" x14ac:dyDescent="0.2">
      <c r="C24" s="98"/>
      <c r="G24">
        <f>B27/4*30+G23</f>
        <v>62600</v>
      </c>
      <c r="H24" s="100"/>
    </row>
    <row r="26" spans="1:11" x14ac:dyDescent="0.2">
      <c r="B26" s="105">
        <f>(B23*47)/100</f>
        <v>9400</v>
      </c>
      <c r="C26" s="97" t="s">
        <v>69</v>
      </c>
      <c r="F26">
        <f>800*8</f>
        <v>6400</v>
      </c>
    </row>
    <row r="27" spans="1:11" x14ac:dyDescent="0.2">
      <c r="B27" s="105">
        <f>(B23*16)/100</f>
        <v>3200</v>
      </c>
      <c r="C27" s="98" t="s">
        <v>74</v>
      </c>
      <c r="F27">
        <f>2500+(B27*15)</f>
        <v>50500</v>
      </c>
    </row>
    <row r="28" spans="1:11" x14ac:dyDescent="0.2">
      <c r="C28"/>
      <c r="F28" s="99">
        <f>SUM(F26:F27)</f>
        <v>56900</v>
      </c>
    </row>
    <row r="33" spans="2:8" x14ac:dyDescent="0.2">
      <c r="B33" s="105">
        <v>30000</v>
      </c>
      <c r="C33" s="98" t="s">
        <v>72</v>
      </c>
      <c r="G33">
        <f>B33*1.93</f>
        <v>57900</v>
      </c>
      <c r="H33" s="100">
        <f>B33*2.7</f>
        <v>81000</v>
      </c>
    </row>
    <row r="34" spans="2:8" x14ac:dyDescent="0.2">
      <c r="C34" s="98"/>
      <c r="G34">
        <f>B37/4*30+G33</f>
        <v>93900</v>
      </c>
      <c r="H34" s="100"/>
    </row>
    <row r="36" spans="2:8" x14ac:dyDescent="0.2">
      <c r="B36" s="105">
        <f>(B33*47)/100</f>
        <v>14100</v>
      </c>
      <c r="C36" s="97" t="s">
        <v>69</v>
      </c>
      <c r="F36">
        <f>800*12</f>
        <v>9600</v>
      </c>
    </row>
    <row r="37" spans="2:8" x14ac:dyDescent="0.2">
      <c r="B37" s="105">
        <f>(B33*16)/100</f>
        <v>4800</v>
      </c>
      <c r="C37" s="98" t="s">
        <v>74</v>
      </c>
      <c r="F37">
        <f>2500+(B37*15)</f>
        <v>74500</v>
      </c>
    </row>
    <row r="38" spans="2:8" x14ac:dyDescent="0.2">
      <c r="C38"/>
      <c r="F38" s="99">
        <f>SUM(F36:F37)</f>
        <v>84100</v>
      </c>
    </row>
    <row r="44" spans="2:8" x14ac:dyDescent="0.2">
      <c r="B44" s="105">
        <v>40000</v>
      </c>
      <c r="C44" s="98" t="s">
        <v>72</v>
      </c>
      <c r="G44">
        <f>B44*1.93</f>
        <v>77200</v>
      </c>
      <c r="H44" s="100">
        <f>B44*2.7</f>
        <v>108000</v>
      </c>
    </row>
    <row r="45" spans="2:8" x14ac:dyDescent="0.2">
      <c r="C45" s="98"/>
      <c r="G45">
        <f>B48/4*30+G44</f>
        <v>125200</v>
      </c>
      <c r="H45" s="100"/>
    </row>
    <row r="47" spans="2:8" x14ac:dyDescent="0.2">
      <c r="B47" s="105">
        <f>(B44*47)/100</f>
        <v>18800</v>
      </c>
      <c r="C47" s="97" t="s">
        <v>69</v>
      </c>
      <c r="F47">
        <f>800*16</f>
        <v>12800</v>
      </c>
    </row>
    <row r="48" spans="2:8" x14ac:dyDescent="0.2">
      <c r="B48" s="105">
        <f>(B44*16)/100</f>
        <v>6400</v>
      </c>
      <c r="C48" s="98" t="s">
        <v>74</v>
      </c>
      <c r="F48">
        <f>2500+(B48*15)</f>
        <v>98500</v>
      </c>
    </row>
    <row r="49" spans="3:6" x14ac:dyDescent="0.2">
      <c r="C49"/>
      <c r="F49" s="99">
        <f>SUM(F47:F48)</f>
        <v>111300</v>
      </c>
    </row>
  </sheetData>
  <mergeCells count="3">
    <mergeCell ref="B11:F11"/>
    <mergeCell ref="C23:D23"/>
    <mergeCell ref="C12:D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საწყისი 2013</vt:lpstr>
      <vt:lpstr>ვარიანტი 1</vt:lpstr>
      <vt:lpstr>ვარიანტი 2</vt:lpstr>
      <vt:lpstr>დაშვებები</vt:lpstr>
    </vt:vector>
  </TitlesOfParts>
  <Company>Ing.Jiří Němec CSc.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მაია მაღლაკელიძე-ხომერიკი</cp:lastModifiedBy>
  <cp:lastPrinted>2018-05-10T06:55:31Z</cp:lastPrinted>
  <dcterms:created xsi:type="dcterms:W3CDTF">2004-12-10T17:48:43Z</dcterms:created>
  <dcterms:modified xsi:type="dcterms:W3CDTF">2018-05-14T14:00:33Z</dcterms:modified>
</cp:coreProperties>
</file>